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D:\Dados\Desktop\FINANCEIRO\02. FINANCEIRO\2023\06. JUN\Histórico Mensal\"/>
    </mc:Choice>
  </mc:AlternateContent>
  <xr:revisionPtr revIDLastSave="0" documentId="13_ncr:1_{72C87A07-A97E-4070-A439-776647105893}" xr6:coauthVersionLast="47" xr6:coauthVersionMax="47" xr10:uidLastSave="{00000000-0000-0000-0000-000000000000}"/>
  <bookViews>
    <workbookView xWindow="-120" yWindow="-120" windowWidth="20730" windowHeight="11160" tabRatio="597" xr2:uid="{39FDE74E-F6F9-46DB-BAE3-CEDA0E45484C}"/>
  </bookViews>
  <sheets>
    <sheet name="JU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5" i="1" l="1"/>
  <c r="T67" i="1"/>
  <c r="T85" i="1"/>
  <c r="T78" i="1"/>
  <c r="T68" i="1"/>
  <c r="T63" i="1"/>
  <c r="T61" i="1"/>
  <c r="T54" i="1"/>
  <c r="T37" i="1"/>
  <c r="T34" i="1"/>
  <c r="T41" i="1"/>
  <c r="T40" i="1"/>
  <c r="T49" i="1"/>
  <c r="T48" i="1"/>
  <c r="T45" i="1"/>
  <c r="T44" i="1"/>
  <c r="T43" i="1"/>
  <c r="T47" i="1"/>
  <c r="T52" i="1"/>
  <c r="T51" i="1"/>
  <c r="T60" i="1"/>
  <c r="T59" i="1"/>
  <c r="T73" i="1"/>
  <c r="T72" i="1"/>
  <c r="T71" i="1"/>
  <c r="T70" i="1"/>
  <c r="T81" i="1"/>
  <c r="T80" i="1"/>
  <c r="T88" i="1"/>
  <c r="T87" i="1"/>
  <c r="T101" i="1"/>
  <c r="T99" i="1"/>
  <c r="T96" i="1"/>
  <c r="T93" i="1"/>
  <c r="T92" i="1"/>
  <c r="T91" i="1"/>
  <c r="U24" i="1"/>
  <c r="T24" i="1"/>
  <c r="V24" i="1" l="1"/>
  <c r="V27" i="1" s="1"/>
  <c r="T65" i="1"/>
  <c r="T77" i="1"/>
  <c r="T74" i="1"/>
  <c r="T79" i="1"/>
  <c r="T86" i="1"/>
  <c r="T95" i="1"/>
  <c r="T97" i="1"/>
  <c r="T98" i="1"/>
  <c r="T100" i="1"/>
  <c r="T35" i="1"/>
  <c r="T83" i="1"/>
  <c r="T58" i="1"/>
  <c r="T90" i="1"/>
  <c r="T66" i="1"/>
  <c r="T57" i="1"/>
  <c r="T36" i="1"/>
  <c r="T76" i="1"/>
  <c r="T82" i="1"/>
  <c r="T39" i="1"/>
  <c r="T55" i="1"/>
  <c r="T56" i="1"/>
  <c r="T53" i="1"/>
  <c r="T38" i="1"/>
  <c r="T75" i="1"/>
  <c r="T62" i="1"/>
  <c r="R24" i="1"/>
  <c r="Q24" i="1"/>
  <c r="Q83" i="1"/>
  <c r="Q93" i="1"/>
  <c r="S25" i="1"/>
  <c r="S24" i="1" l="1"/>
  <c r="S27" i="1" l="1"/>
  <c r="Q51" i="1" l="1"/>
  <c r="Q97" i="1"/>
  <c r="Q70" i="1"/>
  <c r="Q79" i="1"/>
  <c r="Q78" i="1"/>
  <c r="Q74" i="1"/>
  <c r="Q77" i="1"/>
  <c r="Q88" i="1"/>
  <c r="Q87" i="1"/>
  <c r="Q86" i="1"/>
  <c r="Q65" i="1"/>
  <c r="Q67" i="1"/>
  <c r="Q101" i="1"/>
  <c r="Q100" i="1"/>
  <c r="Q99" i="1"/>
  <c r="Q98" i="1"/>
  <c r="Q96" i="1"/>
  <c r="Q95" i="1"/>
  <c r="Q91" i="1"/>
  <c r="Q80" i="1"/>
  <c r="Q81" i="1"/>
  <c r="Q85" i="1"/>
  <c r="Q82" i="1"/>
  <c r="Q73" i="1"/>
  <c r="Q71" i="1"/>
  <c r="Q68" i="1"/>
  <c r="Q62" i="1"/>
  <c r="Q63" i="1"/>
  <c r="Q61" i="1"/>
  <c r="Q60" i="1"/>
  <c r="Q59" i="1"/>
  <c r="Q58" i="1"/>
  <c r="Q54" i="1"/>
  <c r="Q52" i="1"/>
  <c r="Q49" i="1"/>
  <c r="Q48" i="1"/>
  <c r="Q47" i="1"/>
  <c r="Q45" i="1"/>
  <c r="Q44" i="1"/>
  <c r="Q43" i="1"/>
  <c r="Q41" i="1"/>
  <c r="Q40" i="1"/>
  <c r="Q39" i="1"/>
  <c r="Q37" i="1"/>
  <c r="Q34" i="1"/>
  <c r="Q35" i="1"/>
  <c r="Q92" i="1"/>
  <c r="Q66" i="1"/>
  <c r="Q57" i="1"/>
  <c r="Q36" i="1"/>
  <c r="Q90" i="1"/>
  <c r="Q76" i="1"/>
  <c r="Q56" i="1"/>
  <c r="Q53" i="1"/>
  <c r="Q55" i="1"/>
  <c r="Q75" i="1"/>
  <c r="Q38" i="1"/>
  <c r="Q72" i="1"/>
  <c r="Q64" i="1" l="1"/>
  <c r="N85" i="1"/>
  <c r="N70" i="1"/>
  <c r="N68" i="1"/>
  <c r="N34" i="1"/>
  <c r="N37" i="1"/>
  <c r="N40" i="1"/>
  <c r="N39" i="1"/>
  <c r="N41" i="1"/>
  <c r="N45" i="1"/>
  <c r="N44" i="1"/>
  <c r="N43" i="1"/>
  <c r="N49" i="1"/>
  <c r="N48" i="1"/>
  <c r="N47" i="1"/>
  <c r="N88" i="1"/>
  <c r="N87" i="1"/>
  <c r="N74" i="1"/>
  <c r="N73" i="1"/>
  <c r="N81" i="1"/>
  <c r="N80" i="1"/>
  <c r="N79" i="1"/>
  <c r="N78" i="1"/>
  <c r="N93" i="1"/>
  <c r="N92" i="1"/>
  <c r="N91" i="1"/>
  <c r="N90" i="1"/>
  <c r="N100" i="1"/>
  <c r="N101" i="1"/>
  <c r="N99" i="1"/>
  <c r="N98" i="1"/>
  <c r="N97" i="1"/>
  <c r="N96" i="1"/>
  <c r="N95" i="1"/>
  <c r="N63" i="1"/>
  <c r="N62" i="1"/>
  <c r="N61" i="1"/>
  <c r="N60" i="1"/>
  <c r="N59" i="1"/>
  <c r="N54" i="1"/>
  <c r="N51" i="1"/>
  <c r="N52" i="1"/>
  <c r="N67" i="1"/>
  <c r="N65" i="1"/>
  <c r="N77" i="1"/>
  <c r="N86" i="1"/>
  <c r="N83" i="1"/>
  <c r="N58" i="1"/>
  <c r="N36" i="1"/>
  <c r="N57" i="1"/>
  <c r="N66" i="1"/>
  <c r="N82" i="1"/>
  <c r="N55" i="1"/>
  <c r="N71" i="1"/>
  <c r="N76" i="1"/>
  <c r="N56" i="1"/>
  <c r="N72" i="1"/>
  <c r="N53" i="1"/>
  <c r="N38" i="1"/>
  <c r="N75" i="1"/>
  <c r="N35" i="1"/>
  <c r="P25" i="1"/>
  <c r="P24" i="1"/>
  <c r="P27" i="1" s="1"/>
  <c r="O24" i="1"/>
  <c r="N24" i="1"/>
  <c r="N94" i="1" l="1"/>
  <c r="L24" i="1"/>
  <c r="K24" i="1"/>
  <c r="K98" i="1"/>
  <c r="K97" i="1"/>
  <c r="K96" i="1"/>
  <c r="K95" i="1"/>
  <c r="K99" i="1"/>
  <c r="K100" i="1"/>
  <c r="K101" i="1"/>
  <c r="K68" i="1"/>
  <c r="K90" i="1"/>
  <c r="K91" i="1"/>
  <c r="K92" i="1"/>
  <c r="K93" i="1"/>
  <c r="K88" i="1"/>
  <c r="K87" i="1"/>
  <c r="K85" i="1"/>
  <c r="K81" i="1"/>
  <c r="K80" i="1"/>
  <c r="K78" i="1"/>
  <c r="K73" i="1"/>
  <c r="K72" i="1"/>
  <c r="K71" i="1"/>
  <c r="K70" i="1"/>
  <c r="K34" i="1"/>
  <c r="K37" i="1"/>
  <c r="K41" i="1"/>
  <c r="K40" i="1"/>
  <c r="K54" i="1"/>
  <c r="K51" i="1"/>
  <c r="K52" i="1"/>
  <c r="K43" i="1"/>
  <c r="K44" i="1"/>
  <c r="K42" i="1" s="1"/>
  <c r="K45" i="1"/>
  <c r="K47" i="1"/>
  <c r="K46" i="1" s="1"/>
  <c r="K48" i="1"/>
  <c r="K49" i="1"/>
  <c r="K59" i="1"/>
  <c r="K60" i="1"/>
  <c r="K61" i="1"/>
  <c r="K62" i="1"/>
  <c r="K63" i="1"/>
  <c r="AA78" i="1"/>
  <c r="K83" i="1"/>
  <c r="K66" i="1"/>
  <c r="K35" i="1"/>
  <c r="K36" i="1"/>
  <c r="K57" i="1"/>
  <c r="K58" i="1"/>
  <c r="K82" i="1"/>
  <c r="K56" i="1"/>
  <c r="K55" i="1"/>
  <c r="K53" i="1"/>
  <c r="K76" i="1"/>
  <c r="K39" i="1"/>
  <c r="K75" i="1"/>
  <c r="K38" i="1"/>
  <c r="K79" i="1"/>
  <c r="K74" i="1"/>
  <c r="K77" i="1"/>
  <c r="K86" i="1"/>
  <c r="K84" i="1" s="1"/>
  <c r="K67" i="1"/>
  <c r="K65" i="1"/>
  <c r="M25" i="1"/>
  <c r="M24" i="1"/>
  <c r="M27" i="1" s="1"/>
  <c r="AB26" i="1"/>
  <c r="I24" i="1"/>
  <c r="X24" i="1" s="1"/>
  <c r="H24" i="1"/>
  <c r="H83" i="1"/>
  <c r="H72" i="1"/>
  <c r="H68" i="1"/>
  <c r="H54" i="1"/>
  <c r="H37" i="1"/>
  <c r="H34" i="1"/>
  <c r="H41" i="1"/>
  <c r="H40" i="1"/>
  <c r="H45" i="1"/>
  <c r="H44" i="1"/>
  <c r="H43" i="1"/>
  <c r="H49" i="1"/>
  <c r="H48" i="1"/>
  <c r="H47" i="1"/>
  <c r="W47" i="1" s="1"/>
  <c r="H52" i="1"/>
  <c r="H51" i="1"/>
  <c r="W51" i="1" s="1"/>
  <c r="H63" i="1"/>
  <c r="H62" i="1"/>
  <c r="W62" i="1" s="1"/>
  <c r="H61" i="1"/>
  <c r="H60" i="1"/>
  <c r="H59" i="1"/>
  <c r="H88" i="1"/>
  <c r="W88" i="1" s="1"/>
  <c r="H87" i="1"/>
  <c r="H86" i="1"/>
  <c r="W86" i="1" s="1"/>
  <c r="H85" i="1"/>
  <c r="W85" i="1" s="1"/>
  <c r="H92" i="1"/>
  <c r="H93" i="1"/>
  <c r="H91" i="1"/>
  <c r="W91" i="1" s="1"/>
  <c r="AA91" i="1" s="1"/>
  <c r="H90" i="1"/>
  <c r="H100" i="1"/>
  <c r="H101" i="1"/>
  <c r="W101" i="1" s="1"/>
  <c r="H99" i="1"/>
  <c r="H98" i="1"/>
  <c r="H95" i="1"/>
  <c r="W95" i="1" s="1"/>
  <c r="H97" i="1"/>
  <c r="H96" i="1"/>
  <c r="H66" i="1"/>
  <c r="H78" i="1"/>
  <c r="W78" i="1" s="1"/>
  <c r="H79" i="1"/>
  <c r="W79" i="1" s="1"/>
  <c r="AA79" i="1" s="1"/>
  <c r="H81" i="1"/>
  <c r="H80" i="1"/>
  <c r="H71" i="1"/>
  <c r="H70" i="1"/>
  <c r="H77" i="1"/>
  <c r="H74" i="1"/>
  <c r="H73" i="1"/>
  <c r="H58" i="1"/>
  <c r="W58" i="1" s="1"/>
  <c r="H57" i="1"/>
  <c r="H56" i="1"/>
  <c r="H55" i="1"/>
  <c r="H53" i="1"/>
  <c r="W53" i="1" s="1"/>
  <c r="H82" i="1"/>
  <c r="H76" i="1"/>
  <c r="H75" i="1"/>
  <c r="H39" i="1"/>
  <c r="H38" i="1"/>
  <c r="H36" i="1"/>
  <c r="H35" i="1"/>
  <c r="J24" i="1"/>
  <c r="Y24" i="1" s="1"/>
  <c r="J25" i="1"/>
  <c r="H67" i="1"/>
  <c r="H65" i="1"/>
  <c r="H109" i="1"/>
  <c r="K109" i="1" s="1"/>
  <c r="N109" i="1" s="1"/>
  <c r="Q109" i="1" s="1"/>
  <c r="T109" i="1" s="1"/>
  <c r="E110" i="1"/>
  <c r="H110" i="1" s="1"/>
  <c r="K110" i="1" s="1"/>
  <c r="N110" i="1" s="1"/>
  <c r="Q110" i="1" s="1"/>
  <c r="T110" i="1" s="1"/>
  <c r="E109" i="1"/>
  <c r="E108" i="1"/>
  <c r="H108" i="1" s="1"/>
  <c r="K108" i="1" s="1"/>
  <c r="N108" i="1" s="1"/>
  <c r="G27" i="1"/>
  <c r="E27" i="1"/>
  <c r="B27" i="1"/>
  <c r="D27" i="1"/>
  <c r="B18" i="1"/>
  <c r="E94" i="1"/>
  <c r="Q94" i="1"/>
  <c r="T94" i="1"/>
  <c r="E89" i="1"/>
  <c r="H89" i="1"/>
  <c r="N89" i="1"/>
  <c r="Q89" i="1"/>
  <c r="T89" i="1"/>
  <c r="E84" i="1"/>
  <c r="N84" i="1"/>
  <c r="Q84" i="1"/>
  <c r="T84" i="1"/>
  <c r="B94" i="1"/>
  <c r="B89" i="1"/>
  <c r="B84" i="1"/>
  <c r="E69" i="1"/>
  <c r="N69" i="1"/>
  <c r="Q69" i="1"/>
  <c r="T69" i="1"/>
  <c r="B69" i="1"/>
  <c r="E64" i="1"/>
  <c r="N64" i="1"/>
  <c r="T64" i="1"/>
  <c r="B64" i="1"/>
  <c r="E50" i="1"/>
  <c r="E102" i="1" s="1"/>
  <c r="N50" i="1"/>
  <c r="Q50" i="1"/>
  <c r="T50" i="1"/>
  <c r="B50" i="1"/>
  <c r="E46" i="1"/>
  <c r="N46" i="1"/>
  <c r="Q46" i="1"/>
  <c r="T46" i="1"/>
  <c r="E42" i="1"/>
  <c r="N42" i="1"/>
  <c r="Q42" i="1"/>
  <c r="T42" i="1"/>
  <c r="B46" i="1"/>
  <c r="B42" i="1"/>
  <c r="T33" i="1"/>
  <c r="N33" i="1"/>
  <c r="Q33" i="1"/>
  <c r="E33" i="1"/>
  <c r="B33" i="1"/>
  <c r="B102" i="1" s="1"/>
  <c r="W39" i="1" l="1"/>
  <c r="AA39" i="1" s="1"/>
  <c r="W70" i="1"/>
  <c r="AA70" i="1" s="1"/>
  <c r="W97" i="1"/>
  <c r="AA97" i="1" s="1"/>
  <c r="W60" i="1"/>
  <c r="AA60" i="1" s="1"/>
  <c r="W49" i="1"/>
  <c r="AA49" i="1" s="1"/>
  <c r="W40" i="1"/>
  <c r="AA40" i="1" s="1"/>
  <c r="W54" i="1"/>
  <c r="AA54" i="1" s="1"/>
  <c r="W83" i="1"/>
  <c r="AA83" i="1" s="1"/>
  <c r="E103" i="1"/>
  <c r="E111" i="1"/>
  <c r="W65" i="1"/>
  <c r="W64" i="1" s="1"/>
  <c r="W35" i="1"/>
  <c r="AA35" i="1" s="1"/>
  <c r="W75" i="1"/>
  <c r="AA75" i="1" s="1"/>
  <c r="W55" i="1"/>
  <c r="AA55" i="1" s="1"/>
  <c r="W73" i="1"/>
  <c r="AA73" i="1" s="1"/>
  <c r="W71" i="1"/>
  <c r="AA100" i="1"/>
  <c r="W100" i="1"/>
  <c r="AA93" i="1"/>
  <c r="W93" i="1"/>
  <c r="AA87" i="1"/>
  <c r="W87" i="1"/>
  <c r="AA61" i="1"/>
  <c r="W61" i="1"/>
  <c r="AA52" i="1"/>
  <c r="W52" i="1"/>
  <c r="AA43" i="1"/>
  <c r="W43" i="1"/>
  <c r="W41" i="1"/>
  <c r="W68" i="1"/>
  <c r="AA68" i="1" s="1"/>
  <c r="W67" i="1"/>
  <c r="AA67" i="1" s="1"/>
  <c r="W36" i="1"/>
  <c r="W33" i="1" s="1"/>
  <c r="W76" i="1"/>
  <c r="AA76" i="1" s="1"/>
  <c r="W56" i="1"/>
  <c r="AA56" i="1" s="1"/>
  <c r="W74" i="1"/>
  <c r="AA74" i="1" s="1"/>
  <c r="W80" i="1"/>
  <c r="AA80" i="1" s="1"/>
  <c r="W66" i="1"/>
  <c r="AA66" i="1" s="1"/>
  <c r="W98" i="1"/>
  <c r="AA98" i="1" s="1"/>
  <c r="W92" i="1"/>
  <c r="AA92" i="1" s="1"/>
  <c r="W44" i="1"/>
  <c r="AA34" i="1"/>
  <c r="W34" i="1"/>
  <c r="AA72" i="1"/>
  <c r="W72" i="1"/>
  <c r="K64" i="1"/>
  <c r="AB25" i="1"/>
  <c r="Y25" i="1"/>
  <c r="W38" i="1"/>
  <c r="AA38" i="1" s="1"/>
  <c r="W82" i="1"/>
  <c r="AA82" i="1" s="1"/>
  <c r="W57" i="1"/>
  <c r="AA57" i="1" s="1"/>
  <c r="W77" i="1"/>
  <c r="AA77" i="1" s="1"/>
  <c r="W81" i="1"/>
  <c r="AA81" i="1" s="1"/>
  <c r="W96" i="1"/>
  <c r="AA96" i="1" s="1"/>
  <c r="W99" i="1"/>
  <c r="AA90" i="1"/>
  <c r="AA89" i="1" s="1"/>
  <c r="W90" i="1"/>
  <c r="W59" i="1"/>
  <c r="AA59" i="1" s="1"/>
  <c r="AA63" i="1"/>
  <c r="W63" i="1"/>
  <c r="W48" i="1"/>
  <c r="AA48" i="1" s="1"/>
  <c r="AA45" i="1"/>
  <c r="W45" i="1"/>
  <c r="W37" i="1"/>
  <c r="AA37" i="1" s="1"/>
  <c r="J27" i="1"/>
  <c r="W24" i="1"/>
  <c r="W27" i="1" s="1"/>
  <c r="T102" i="1"/>
  <c r="T103" i="1" s="1"/>
  <c r="Q108" i="1"/>
  <c r="N111" i="1"/>
  <c r="B104" i="1"/>
  <c r="AA99" i="1"/>
  <c r="AA86" i="1"/>
  <c r="K89" i="1"/>
  <c r="AA95" i="1"/>
  <c r="H84" i="1"/>
  <c r="H46" i="1"/>
  <c r="AA53" i="1"/>
  <c r="AA58" i="1"/>
  <c r="AA41" i="1"/>
  <c r="AA62" i="1"/>
  <c r="AA71" i="1"/>
  <c r="AA88" i="1"/>
  <c r="AA47" i="1"/>
  <c r="H42" i="1"/>
  <c r="K33" i="1"/>
  <c r="Q102" i="1"/>
  <c r="Q103" i="1" s="1"/>
  <c r="N102" i="1"/>
  <c r="N103" i="1" s="1"/>
  <c r="K94" i="1"/>
  <c r="AA101" i="1"/>
  <c r="W50" i="1"/>
  <c r="W89" i="1"/>
  <c r="AA51" i="1"/>
  <c r="K50" i="1"/>
  <c r="K69" i="1"/>
  <c r="K111" i="1"/>
  <c r="W46" i="1"/>
  <c r="H27" i="1"/>
  <c r="K27" i="1" s="1"/>
  <c r="N27" i="1" s="1"/>
  <c r="Q27" i="1" s="1"/>
  <c r="T27" i="1" s="1"/>
  <c r="H64" i="1"/>
  <c r="H33" i="1"/>
  <c r="H94" i="1"/>
  <c r="H50" i="1"/>
  <c r="H69" i="1"/>
  <c r="H111" i="1"/>
  <c r="AA69" i="1" l="1"/>
  <c r="AA36" i="1"/>
  <c r="AA65" i="1"/>
  <c r="AA64" i="1" s="1"/>
  <c r="Q111" i="1"/>
  <c r="T108" i="1"/>
  <c r="T111" i="1" s="1"/>
  <c r="AA94" i="1"/>
  <c r="AA46" i="1"/>
  <c r="AA24" i="1"/>
  <c r="AA27" i="1" s="1"/>
  <c r="AA50" i="1"/>
  <c r="AA33" i="1"/>
  <c r="W94" i="1"/>
  <c r="W42" i="1"/>
  <c r="AA44" i="1"/>
  <c r="AA42" i="1" s="1"/>
  <c r="W69" i="1"/>
  <c r="W84" i="1"/>
  <c r="AA85" i="1"/>
  <c r="AA84" i="1" s="1"/>
  <c r="AB24" i="1"/>
  <c r="AB27" i="1" s="1"/>
  <c r="Y27" i="1"/>
  <c r="K102" i="1"/>
  <c r="K103" i="1" s="1"/>
  <c r="H102" i="1"/>
  <c r="H103" i="1" s="1"/>
  <c r="AA102" i="1" l="1"/>
  <c r="Z103" i="1" s="1"/>
  <c r="W102" i="1"/>
</calcChain>
</file>

<file path=xl/sharedStrings.xml><?xml version="1.0" encoding="utf-8"?>
<sst xmlns="http://schemas.openxmlformats.org/spreadsheetml/2006/main" count="159" uniqueCount="111">
  <si>
    <t>Bens da ANIPA</t>
  </si>
  <si>
    <t>Acumulado 2022</t>
  </si>
  <si>
    <t>JAN</t>
  </si>
  <si>
    <t>Acumulado 2023</t>
  </si>
  <si>
    <t>Evolução histórica</t>
  </si>
  <si>
    <t xml:space="preserve">Total bens </t>
  </si>
  <si>
    <t>Imobilizado (computadores, equipamentos)</t>
  </si>
  <si>
    <t>Intangível (softwares)</t>
  </si>
  <si>
    <t>(-) Depreciação acumulada</t>
  </si>
  <si>
    <t>Receitas</t>
  </si>
  <si>
    <t>Despesas</t>
  </si>
  <si>
    <t>Total Parcial e Acumulado</t>
  </si>
  <si>
    <t>Associados / Receitas</t>
  </si>
  <si>
    <t>%</t>
  </si>
  <si>
    <t>Q</t>
  </si>
  <si>
    <t>Valor</t>
  </si>
  <si>
    <t>S</t>
  </si>
  <si>
    <t>E</t>
  </si>
  <si>
    <t>Receitas anteriores / Associados</t>
  </si>
  <si>
    <t>Associados / Mensalidades</t>
  </si>
  <si>
    <t>Receitas Financeiras</t>
  </si>
  <si>
    <t xml:space="preserve">Outras Receitas </t>
  </si>
  <si>
    <t>Total Associados / Receitas</t>
  </si>
  <si>
    <t>DETALHAMENTO DE DESPESAS</t>
  </si>
  <si>
    <t>Serviços de Terceiros</t>
  </si>
  <si>
    <t>Serviços administrativos Advogados</t>
  </si>
  <si>
    <t>Assessoria Jurídica</t>
  </si>
  <si>
    <t xml:space="preserve">Serviços Contábeis </t>
  </si>
  <si>
    <t>Assessoria Atuarial</t>
  </si>
  <si>
    <t>Assessoria Comunicação/Parlamentar</t>
  </si>
  <si>
    <t>Consultoria/Assessoria Técnica (Adm, Fin, Cont, TI)</t>
  </si>
  <si>
    <t>Telemarketing (associados regular termos)</t>
  </si>
  <si>
    <t xml:space="preserve">Serviços eventuais de apoio </t>
  </si>
  <si>
    <t>Custos das Ações</t>
  </si>
  <si>
    <r>
      <t>Honorários Advocatícios Iniciais Ações</t>
    </r>
    <r>
      <rPr>
        <sz val="8"/>
        <rFont val="Calibri"/>
        <family val="2"/>
        <scheme val="minor"/>
      </rPr>
      <t xml:space="preserve"> </t>
    </r>
  </si>
  <si>
    <t>Honorários mensais das ações</t>
  </si>
  <si>
    <t>Taxas de ajuizamento de ações / Custas processuais</t>
  </si>
  <si>
    <t>Registros/Cartórios/Publicações</t>
  </si>
  <si>
    <t>Registros e Taxas(Cart, Pref, RF...)</t>
  </si>
  <si>
    <t>Cartórios (Aut, Doc, Rec Firma)</t>
  </si>
  <si>
    <t>Publicações Legais/Editais em jornais</t>
  </si>
  <si>
    <t>Tecnologia</t>
  </si>
  <si>
    <t>Desenvolvimento/Hospedagem site e Sistema inicial/Novo site</t>
  </si>
  <si>
    <t xml:space="preserve">Aperfeiçoamento do Site atual </t>
  </si>
  <si>
    <t>Manutenção do Site atual</t>
  </si>
  <si>
    <t xml:space="preserve">Aperfeiçoamento Sistema de Cadastros  </t>
  </si>
  <si>
    <t xml:space="preserve">Manutenção Sistema de Cadastros  </t>
  </si>
  <si>
    <t>Serviço de E-mail</t>
  </si>
  <si>
    <t xml:space="preserve">Serviço de Mensagens por celular </t>
  </si>
  <si>
    <t xml:space="preserve">Plataforma de assinatura eletrônica </t>
  </si>
  <si>
    <t>Desenv/Serviço Sist Assembleia Virtual</t>
  </si>
  <si>
    <t>Desenv/Serviço Sist Eleição Virtual</t>
  </si>
  <si>
    <t xml:space="preserve">Desenv/Serviço Fórum </t>
  </si>
  <si>
    <t>Registro Domínio ANIPA</t>
  </si>
  <si>
    <t>Certificado Segurança Site / Certificado Digital / Assinatura Digital</t>
  </si>
  <si>
    <t>Bancos/Impostos/Juros</t>
  </si>
  <si>
    <t>Tarifas Bancárias CAIXA</t>
  </si>
  <si>
    <t>Impostos recolhidos à terceiros (INSS, IR, CONTR. FEDER...)</t>
  </si>
  <si>
    <t>IRRF/IOF operações financeiras (sobre os investimentos)</t>
  </si>
  <si>
    <r>
      <t>Despesas com Juros/Outras despesas financeiras</t>
    </r>
    <r>
      <rPr>
        <sz val="8"/>
        <rFont val="Calibri"/>
        <family val="2"/>
        <scheme val="minor"/>
      </rPr>
      <t xml:space="preserve"> </t>
    </r>
  </si>
  <si>
    <t xml:space="preserve">Escritório ANIPA </t>
  </si>
  <si>
    <t>Móveis/Utensílios</t>
  </si>
  <si>
    <t>Assinatura de jornais, revistas, publicações e outros</t>
  </si>
  <si>
    <t>Material Escritório</t>
  </si>
  <si>
    <t xml:space="preserve">Aluguel/Condomínio/IPTU/Taxas </t>
  </si>
  <si>
    <t xml:space="preserve">Luz/Telefone/Internet </t>
  </si>
  <si>
    <t>Diversos (café, água, copos, chaves, etc.)</t>
  </si>
  <si>
    <t>Manutenção (de computadores, impressora)</t>
  </si>
  <si>
    <t>Higiene e Limpeza (material e serviço)</t>
  </si>
  <si>
    <t>Reforma escritório</t>
  </si>
  <si>
    <t>Serviço de Seleção e Recrutamento</t>
  </si>
  <si>
    <t>Salários (mês, 13°, férias, rescisão)</t>
  </si>
  <si>
    <r>
      <t>Encargos trabalhistas (INSS, FGTS, PIS, Transp, Alim, Sind)</t>
    </r>
    <r>
      <rPr>
        <sz val="8"/>
        <rFont val="Calibri"/>
        <family val="2"/>
        <scheme val="minor"/>
      </rPr>
      <t xml:space="preserve"> </t>
    </r>
  </si>
  <si>
    <t>Outros Serviços</t>
  </si>
  <si>
    <t>Serv. Gráficos/Digitalizações/Cópias</t>
  </si>
  <si>
    <t>Motoboy</t>
  </si>
  <si>
    <t>Correios</t>
  </si>
  <si>
    <t>Deslocamento (para serviços externos)</t>
  </si>
  <si>
    <t>Outros</t>
  </si>
  <si>
    <t>Locação sala Eventos/Assembleia/Equipamentos/Hotel</t>
  </si>
  <si>
    <t>Apoio a mobilizações</t>
  </si>
  <si>
    <t>Devoluções/Recebimentos indevidos</t>
  </si>
  <si>
    <t>Participações em outras associações/em outros eventos</t>
  </si>
  <si>
    <t>Despesas Viagens</t>
  </si>
  <si>
    <t>Presidência</t>
  </si>
  <si>
    <t>Jurídico</t>
  </si>
  <si>
    <t>Financeiro</t>
  </si>
  <si>
    <t>Técnico</t>
  </si>
  <si>
    <t>Comunicação</t>
  </si>
  <si>
    <t>Conselho Fiscal</t>
  </si>
  <si>
    <r>
      <t xml:space="preserve">Associados / Prestador de serviço / Funcionários </t>
    </r>
    <r>
      <rPr>
        <sz val="8"/>
        <rFont val="Calibri"/>
        <family val="2"/>
        <scheme val="minor"/>
      </rPr>
      <t>(1)</t>
    </r>
  </si>
  <si>
    <t>Total Despesas</t>
  </si>
  <si>
    <t>Resultado / Saldo em Conta</t>
  </si>
  <si>
    <t>Despesas Acumuladas até 2022</t>
  </si>
  <si>
    <t>Investimentos</t>
  </si>
  <si>
    <t>Caixa FIC GIRO EMPRESAS</t>
  </si>
  <si>
    <t>Caixa FIC RUBI</t>
  </si>
  <si>
    <t>CDB Flex Empresarial</t>
  </si>
  <si>
    <t>Saldos totais</t>
  </si>
  <si>
    <t>Evolução histórica desde a fundação - MAR/2015</t>
  </si>
  <si>
    <r>
      <t xml:space="preserve">Q - </t>
    </r>
    <r>
      <rPr>
        <sz val="10"/>
        <color theme="1"/>
        <rFont val="Calibri"/>
        <family val="2"/>
        <scheme val="minor"/>
      </rPr>
      <t>Quantidade acumulada</t>
    </r>
  </si>
  <si>
    <r>
      <t xml:space="preserve">E - </t>
    </r>
    <r>
      <rPr>
        <sz val="10"/>
        <color theme="1"/>
        <rFont val="Calibri"/>
        <family val="2"/>
        <scheme val="minor"/>
      </rPr>
      <t>Entraram na ANIPA</t>
    </r>
  </si>
  <si>
    <t>(1) A serviço ou representação da ANIPA</t>
  </si>
  <si>
    <t>FEV</t>
  </si>
  <si>
    <t>MAR</t>
  </si>
  <si>
    <t>ABR</t>
  </si>
  <si>
    <t>MAI</t>
  </si>
  <si>
    <t>JUN</t>
  </si>
  <si>
    <t>Softwares (Office, Antivírus, Adobe mensal, Zoom)</t>
  </si>
  <si>
    <t>Computadores 5, impressoras 1, celular 2, webcam 1</t>
  </si>
  <si>
    <r>
      <t xml:space="preserve">CONTROLE FINANCEIRO 2023
</t>
    </r>
    <r>
      <rPr>
        <b/>
        <sz val="12"/>
        <rFont val="Calibri"/>
        <family val="2"/>
        <scheme val="minor"/>
      </rPr>
      <t>Posição JUNHO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</si>
</sst>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b/>
      <sz val="11"/>
      <name val="Calibri"/>
      <family val="2"/>
      <scheme val="minor"/>
    </font>
    <font>
      <b/>
      <sz val="10"/>
      <name val="Calibri"/>
      <family val="2"/>
      <scheme val="minor"/>
    </font>
    <font>
      <sz val="8"/>
      <name val="Calibri"/>
      <family val="2"/>
      <scheme val="minor"/>
    </font>
    <font>
      <i/>
      <sz val="11"/>
      <color theme="1"/>
      <name val="Calibri"/>
      <family val="2"/>
      <scheme val="minor"/>
    </font>
    <font>
      <sz val="9"/>
      <color theme="1"/>
      <name val="Calibri"/>
      <family val="2"/>
      <scheme val="minor"/>
    </font>
    <font>
      <b/>
      <sz val="12"/>
      <name val="Calibri"/>
      <family val="2"/>
      <scheme val="minor"/>
    </font>
    <font>
      <b/>
      <sz val="14"/>
      <name val="Calibri"/>
      <family val="2"/>
      <scheme val="minor"/>
    </font>
    <font>
      <b/>
      <sz val="16"/>
      <name val="Calibri"/>
      <family val="2"/>
      <scheme val="minor"/>
    </font>
    <font>
      <sz val="18"/>
      <color rgb="FFFF0000"/>
      <name val="Calibri"/>
      <family val="2"/>
      <scheme val="minor"/>
    </font>
    <font>
      <b/>
      <sz val="12"/>
      <color theme="1"/>
      <name val="Calibri"/>
      <family val="2"/>
      <scheme val="minor"/>
    </font>
    <font>
      <b/>
      <sz val="11"/>
      <color rgb="FFFF0000"/>
      <name val="Calibri"/>
      <family val="2"/>
      <scheme val="minor"/>
    </font>
  </fonts>
  <fills count="15">
    <fill>
      <patternFill patternType="none"/>
    </fill>
    <fill>
      <patternFill patternType="gray125"/>
    </fill>
    <fill>
      <patternFill patternType="solid">
        <fgColor rgb="FFB0B0B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FFFAEB"/>
        <bgColor indexed="64"/>
      </patternFill>
    </fill>
    <fill>
      <patternFill patternType="solid">
        <fgColor rgb="FF9ECA80"/>
        <bgColor indexed="64"/>
      </patternFill>
    </fill>
    <fill>
      <patternFill patternType="solid">
        <fgColor rgb="FFC2D1EC"/>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DBC9FF"/>
        <bgColor indexed="64"/>
      </patternFill>
    </fill>
    <fill>
      <patternFill patternType="solid">
        <fgColor rgb="FFC4A7FF"/>
        <bgColor indexed="64"/>
      </patternFill>
    </fill>
    <fill>
      <patternFill patternType="solid">
        <fgColor rgb="FFF2E5FF"/>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42">
    <xf numFmtId="0" fontId="0" fillId="0" borderId="0" xfId="0"/>
    <xf numFmtId="4" fontId="0" fillId="0" borderId="1" xfId="0" applyNumberFormat="1" applyBorder="1" applyAlignment="1">
      <alignment horizontal="right"/>
    </xf>
    <xf numFmtId="0" fontId="2" fillId="2" borderId="1" xfId="0" applyFont="1" applyFill="1" applyBorder="1" applyAlignment="1">
      <alignment horizontal="center" vertical="center"/>
    </xf>
    <xf numFmtId="0" fontId="3" fillId="3" borderId="1" xfId="0" applyFont="1" applyFill="1" applyBorder="1" applyAlignment="1">
      <alignment vertical="center"/>
    </xf>
    <xf numFmtId="0" fontId="4" fillId="4" borderId="1" xfId="0" applyFont="1" applyFill="1" applyBorder="1"/>
    <xf numFmtId="0" fontId="3" fillId="5" borderId="1" xfId="0" applyFont="1" applyFill="1" applyBorder="1" applyAlignment="1">
      <alignment horizontal="center"/>
    </xf>
    <xf numFmtId="0" fontId="3" fillId="6" borderId="1" xfId="0" applyFont="1" applyFill="1" applyBorder="1" applyAlignment="1">
      <alignment horizontal="center"/>
    </xf>
    <xf numFmtId="0" fontId="4" fillId="3" borderId="1" xfId="0" applyFont="1" applyFill="1" applyBorder="1" applyAlignment="1">
      <alignment horizontal="left" vertical="center" wrapText="1"/>
    </xf>
    <xf numFmtId="0" fontId="5" fillId="4" borderId="1" xfId="0" applyFont="1" applyFill="1" applyBorder="1"/>
    <xf numFmtId="0" fontId="4" fillId="3" borderId="1" xfId="0" applyFont="1" applyFill="1" applyBorder="1"/>
    <xf numFmtId="0" fontId="3" fillId="7" borderId="1" xfId="0" applyFont="1" applyFill="1" applyBorder="1"/>
    <xf numFmtId="0" fontId="6" fillId="2" borderId="1" xfId="0" applyFont="1" applyFill="1" applyBorder="1" applyAlignment="1" applyProtection="1">
      <alignment horizontal="center"/>
      <protection locked="0"/>
    </xf>
    <xf numFmtId="0" fontId="7" fillId="8" borderId="1" xfId="0" applyFont="1" applyFill="1" applyBorder="1" applyAlignment="1" applyProtection="1">
      <alignment horizontal="center"/>
      <protection locked="0"/>
    </xf>
    <xf numFmtId="0" fontId="5" fillId="4" borderId="1" xfId="0" applyFont="1" applyFill="1" applyBorder="1" applyProtection="1">
      <protection locked="0"/>
    </xf>
    <xf numFmtId="0" fontId="4" fillId="0" borderId="1" xfId="0" applyFont="1" applyBorder="1" applyProtection="1">
      <protection locked="0"/>
    </xf>
    <xf numFmtId="0" fontId="4" fillId="4" borderId="1" xfId="0" applyFont="1" applyFill="1" applyBorder="1" applyProtection="1">
      <protection locked="0"/>
    </xf>
    <xf numFmtId="0" fontId="5" fillId="4" borderId="1" xfId="0" applyFont="1" applyFill="1" applyBorder="1" applyAlignment="1" applyProtection="1">
      <alignment horizontal="left"/>
      <protection locked="0"/>
    </xf>
    <xf numFmtId="0" fontId="3" fillId="9" borderId="1" xfId="0" applyFont="1" applyFill="1" applyBorder="1" applyAlignment="1" applyProtection="1">
      <alignment horizontal="center"/>
      <protection locked="0"/>
    </xf>
    <xf numFmtId="0" fontId="7" fillId="7" borderId="1" xfId="0" applyFont="1" applyFill="1" applyBorder="1" applyAlignment="1" applyProtection="1">
      <alignment horizontal="center"/>
      <protection locked="0"/>
    </xf>
    <xf numFmtId="0" fontId="7" fillId="9" borderId="1" xfId="0" applyFont="1" applyFill="1" applyBorder="1" applyAlignment="1" applyProtection="1">
      <alignment horizontal="center"/>
      <protection locked="0"/>
    </xf>
    <xf numFmtId="0" fontId="3" fillId="5" borderId="1" xfId="0" applyFont="1" applyFill="1" applyBorder="1" applyAlignment="1">
      <alignment horizontal="center" vertical="center"/>
    </xf>
    <xf numFmtId="0" fontId="4" fillId="0" borderId="1" xfId="0" applyFont="1" applyBorder="1"/>
    <xf numFmtId="0" fontId="3" fillId="10" borderId="1" xfId="0" applyFont="1" applyFill="1" applyBorder="1" applyAlignment="1">
      <alignment horizontal="center"/>
    </xf>
    <xf numFmtId="0" fontId="9" fillId="0" borderId="0" xfId="0" applyFont="1"/>
    <xf numFmtId="0" fontId="3" fillId="0" borderId="0" xfId="0" applyFont="1"/>
    <xf numFmtId="0" fontId="10" fillId="0" borderId="0" xfId="0" applyFont="1"/>
    <xf numFmtId="0" fontId="2" fillId="8" borderId="1" xfId="0" applyFont="1" applyFill="1" applyBorder="1" applyAlignment="1">
      <alignment horizontal="center"/>
    </xf>
    <xf numFmtId="4" fontId="0" fillId="3" borderId="6" xfId="0" applyNumberFormat="1" applyFill="1" applyBorder="1"/>
    <xf numFmtId="4" fontId="2" fillId="7" borderId="6" xfId="0" applyNumberFormat="1" applyFont="1" applyFill="1" applyBorder="1"/>
    <xf numFmtId="0" fontId="0" fillId="3" borderId="1" xfId="0" applyFill="1" applyBorder="1"/>
    <xf numFmtId="0" fontId="2" fillId="11" borderId="1" xfId="0" applyFont="1" applyFill="1" applyBorder="1" applyAlignment="1">
      <alignment horizontal="center"/>
    </xf>
    <xf numFmtId="9" fontId="2" fillId="10" borderId="1" xfId="1" applyFont="1" applyFill="1" applyBorder="1" applyAlignment="1">
      <alignment horizontal="center" vertical="center"/>
    </xf>
    <xf numFmtId="4" fontId="2" fillId="8" borderId="1" xfId="0" applyNumberFormat="1" applyFont="1" applyFill="1" applyBorder="1" applyAlignment="1">
      <alignment horizontal="center"/>
    </xf>
    <xf numFmtId="4" fontId="0" fillId="0" borderId="1" xfId="0" applyNumberFormat="1" applyBorder="1"/>
    <xf numFmtId="4" fontId="2" fillId="11" borderId="1" xfId="0" applyNumberFormat="1" applyFont="1" applyFill="1" applyBorder="1" applyAlignment="1">
      <alignment horizontal="center"/>
    </xf>
    <xf numFmtId="4" fontId="0" fillId="13" borderId="1" xfId="0" applyNumberFormat="1" applyFill="1" applyBorder="1" applyAlignment="1">
      <alignment horizontal="right"/>
    </xf>
    <xf numFmtId="4" fontId="2" fillId="12" borderId="1" xfId="0" applyNumberFormat="1" applyFont="1" applyFill="1" applyBorder="1" applyAlignment="1">
      <alignment horizontal="right"/>
    </xf>
    <xf numFmtId="4" fontId="0" fillId="3" borderId="1" xfId="0" applyNumberFormat="1" applyFill="1" applyBorder="1"/>
    <xf numFmtId="4" fontId="2" fillId="7" borderId="1" xfId="0" applyNumberFormat="1" applyFont="1" applyFill="1" applyBorder="1"/>
    <xf numFmtId="3" fontId="0" fillId="3" borderId="1" xfId="0" applyNumberFormat="1" applyFill="1" applyBorder="1"/>
    <xf numFmtId="3" fontId="0" fillId="0" borderId="1" xfId="0" applyNumberFormat="1" applyBorder="1" applyAlignment="1">
      <alignment horizontal="right"/>
    </xf>
    <xf numFmtId="3" fontId="2" fillId="12" borderId="1" xfId="0" applyNumberFormat="1" applyFont="1" applyFill="1" applyBorder="1" applyAlignment="1">
      <alignment horizontal="right"/>
    </xf>
    <xf numFmtId="3" fontId="0" fillId="13" borderId="1" xfId="0" applyNumberFormat="1" applyFill="1" applyBorder="1" applyAlignment="1">
      <alignment horizontal="right"/>
    </xf>
    <xf numFmtId="10" fontId="0" fillId="0" borderId="1" xfId="1" applyNumberFormat="1" applyFont="1" applyBorder="1" applyAlignment="1">
      <alignment horizontal="right"/>
    </xf>
    <xf numFmtId="10" fontId="0" fillId="4" borderId="1" xfId="1" applyNumberFormat="1" applyFont="1" applyFill="1" applyBorder="1"/>
    <xf numFmtId="10" fontId="0" fillId="3" borderId="1" xfId="1" applyNumberFormat="1" applyFont="1" applyFill="1" applyBorder="1"/>
    <xf numFmtId="10" fontId="2" fillId="12" borderId="1" xfId="1" applyNumberFormat="1" applyFont="1" applyFill="1" applyBorder="1" applyAlignment="1">
      <alignment horizontal="right"/>
    </xf>
    <xf numFmtId="9" fontId="0" fillId="9" borderId="1" xfId="1" applyFont="1" applyFill="1" applyBorder="1" applyAlignment="1">
      <alignment horizontal="right"/>
    </xf>
    <xf numFmtId="10" fontId="0" fillId="8" borderId="1" xfId="1" applyNumberFormat="1" applyFont="1" applyFill="1" applyBorder="1" applyAlignment="1">
      <alignment horizontal="right"/>
    </xf>
    <xf numFmtId="10" fontId="2" fillId="8" borderId="2" xfId="1" applyNumberFormat="1" applyFont="1" applyFill="1" applyBorder="1" applyAlignment="1">
      <alignment horizontal="right" vertical="center"/>
    </xf>
    <xf numFmtId="0" fontId="16" fillId="0" borderId="0" xfId="0" applyFont="1"/>
    <xf numFmtId="4" fontId="5" fillId="3" borderId="4" xfId="0" applyNumberFormat="1" applyFont="1" applyFill="1" applyBorder="1" applyAlignment="1">
      <alignment horizontal="right"/>
    </xf>
    <xf numFmtId="4" fontId="5" fillId="3" borderId="5" xfId="0" applyNumberFormat="1" applyFont="1" applyFill="1" applyBorder="1" applyAlignment="1">
      <alignment horizontal="right"/>
    </xf>
    <xf numFmtId="4" fontId="5" fillId="3" borderId="6" xfId="0" applyNumberFormat="1" applyFont="1" applyFill="1" applyBorder="1" applyAlignment="1">
      <alignment horizontal="right"/>
    </xf>
    <xf numFmtId="4" fontId="2" fillId="8" borderId="4" xfId="0" applyNumberFormat="1" applyFont="1" applyFill="1" applyBorder="1" applyAlignment="1">
      <alignment horizontal="right"/>
    </xf>
    <xf numFmtId="4" fontId="2" fillId="8" borderId="5" xfId="0" applyNumberFormat="1" applyFont="1" applyFill="1" applyBorder="1" applyAlignment="1">
      <alignment horizontal="right"/>
    </xf>
    <xf numFmtId="4" fontId="2" fillId="8" borderId="6" xfId="0" applyNumberFormat="1" applyFont="1" applyFill="1" applyBorder="1" applyAlignment="1">
      <alignment horizontal="right"/>
    </xf>
    <xf numFmtId="0" fontId="14" fillId="0" borderId="0" xfId="0" applyFont="1" applyAlignment="1">
      <alignment horizontal="center"/>
    </xf>
    <xf numFmtId="0" fontId="14" fillId="0" borderId="9" xfId="0" applyFont="1" applyBorder="1" applyAlignment="1">
      <alignment horizontal="center"/>
    </xf>
    <xf numFmtId="0" fontId="13" fillId="14" borderId="7" xfId="0" applyFont="1" applyFill="1" applyBorder="1" applyAlignment="1">
      <alignment horizontal="center" vertical="center" wrapText="1"/>
    </xf>
    <xf numFmtId="0" fontId="13" fillId="14" borderId="8" xfId="0" applyFont="1" applyFill="1" applyBorder="1" applyAlignment="1">
      <alignment horizontal="center" vertical="center" wrapText="1"/>
    </xf>
    <xf numFmtId="0" fontId="13" fillId="14" borderId="10" xfId="0" applyFont="1" applyFill="1" applyBorder="1" applyAlignment="1">
      <alignment horizontal="center" vertical="center" wrapText="1"/>
    </xf>
    <xf numFmtId="0" fontId="13" fillId="14" borderId="11" xfId="0" applyFont="1" applyFill="1" applyBorder="1" applyAlignment="1">
      <alignment horizontal="center" vertical="center" wrapText="1"/>
    </xf>
    <xf numFmtId="0" fontId="13" fillId="14" borderId="9" xfId="0" applyFont="1" applyFill="1" applyBorder="1" applyAlignment="1">
      <alignment horizontal="center" vertical="center" wrapText="1"/>
    </xf>
    <xf numFmtId="0" fontId="13" fillId="14" borderId="12" xfId="0" applyFont="1" applyFill="1" applyBorder="1" applyAlignment="1">
      <alignment horizontal="center" vertical="center" wrapText="1"/>
    </xf>
    <xf numFmtId="4" fontId="0" fillId="0" borderId="1" xfId="0" applyNumberFormat="1" applyBorder="1" applyAlignment="1">
      <alignment horizontal="right"/>
    </xf>
    <xf numFmtId="4" fontId="2" fillId="3" borderId="1" xfId="0" applyNumberFormat="1" applyFont="1" applyFill="1" applyBorder="1" applyAlignment="1">
      <alignment horizontal="right"/>
    </xf>
    <xf numFmtId="0" fontId="2" fillId="8" borderId="4" xfId="0" applyFont="1" applyFill="1" applyBorder="1" applyAlignment="1">
      <alignment horizontal="center"/>
    </xf>
    <xf numFmtId="0" fontId="2" fillId="8" borderId="5" xfId="0" applyFont="1" applyFill="1" applyBorder="1" applyAlignment="1">
      <alignment horizontal="center"/>
    </xf>
    <xf numFmtId="0" fontId="2" fillId="10" borderId="4" xfId="0" applyFont="1" applyFill="1" applyBorder="1" applyAlignment="1">
      <alignment horizontal="center"/>
    </xf>
    <xf numFmtId="0" fontId="2" fillId="10" borderId="5" xfId="0" applyFont="1" applyFill="1" applyBorder="1" applyAlignment="1">
      <alignment horizontal="center"/>
    </xf>
    <xf numFmtId="0" fontId="2" fillId="10" borderId="6" xfId="0" applyFont="1" applyFill="1" applyBorder="1" applyAlignment="1">
      <alignment horizontal="center"/>
    </xf>
    <xf numFmtId="4" fontId="2" fillId="5" borderId="1" xfId="0" applyNumberFormat="1" applyFont="1" applyFill="1" applyBorder="1" applyAlignment="1">
      <alignment horizontal="right"/>
    </xf>
    <xf numFmtId="4" fontId="0" fillId="6" borderId="1" xfId="0" applyNumberFormat="1" applyFill="1" applyBorder="1" applyAlignment="1">
      <alignment horizontal="right"/>
    </xf>
    <xf numFmtId="4" fontId="0" fillId="5" borderId="1" xfId="0" applyNumberFormat="1" applyFill="1" applyBorder="1" applyAlignment="1">
      <alignment horizontal="right"/>
    </xf>
    <xf numFmtId="4" fontId="3" fillId="9" borderId="4" xfId="0" applyNumberFormat="1" applyFont="1" applyFill="1" applyBorder="1" applyAlignment="1">
      <alignment horizontal="right"/>
    </xf>
    <xf numFmtId="4" fontId="3" fillId="9" borderId="5" xfId="0" applyNumberFormat="1" applyFont="1" applyFill="1" applyBorder="1" applyAlignment="1">
      <alignment horizontal="right"/>
    </xf>
    <xf numFmtId="4" fontId="3" fillId="9" borderId="6" xfId="0" applyNumberFormat="1" applyFont="1" applyFill="1" applyBorder="1" applyAlignment="1">
      <alignment horizontal="right"/>
    </xf>
    <xf numFmtId="4" fontId="7" fillId="7" borderId="4" xfId="0" applyNumberFormat="1" applyFont="1" applyFill="1" applyBorder="1" applyAlignment="1">
      <alignment horizontal="right"/>
    </xf>
    <xf numFmtId="4" fontId="7" fillId="7" borderId="5" xfId="0" applyNumberFormat="1" applyFont="1" applyFill="1" applyBorder="1" applyAlignment="1">
      <alignment horizontal="right"/>
    </xf>
    <xf numFmtId="4" fontId="7" fillId="7" borderId="6" xfId="0" applyNumberFormat="1" applyFont="1" applyFill="1" applyBorder="1" applyAlignment="1">
      <alignment horizontal="right"/>
    </xf>
    <xf numFmtId="4" fontId="7" fillId="9" borderId="1" xfId="0" applyNumberFormat="1" applyFont="1" applyFill="1" applyBorder="1" applyAlignment="1">
      <alignment horizontal="right"/>
    </xf>
    <xf numFmtId="0" fontId="2" fillId="5" borderId="1" xfId="0" applyFont="1" applyFill="1" applyBorder="1" applyAlignment="1">
      <alignment horizont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4" fontId="4" fillId="3" borderId="4" xfId="0" applyNumberFormat="1" applyFont="1" applyFill="1" applyBorder="1" applyAlignment="1">
      <alignment horizontal="right"/>
    </xf>
    <xf numFmtId="4" fontId="4" fillId="3" borderId="5" xfId="0" applyNumberFormat="1" applyFont="1" applyFill="1" applyBorder="1" applyAlignment="1">
      <alignment horizontal="right"/>
    </xf>
    <xf numFmtId="4" fontId="4" fillId="3" borderId="6" xfId="0" applyNumberFormat="1" applyFont="1" applyFill="1" applyBorder="1" applyAlignment="1">
      <alignment horizontal="right"/>
    </xf>
    <xf numFmtId="3" fontId="2" fillId="7" borderId="4" xfId="0" applyNumberFormat="1" applyFont="1" applyFill="1" applyBorder="1" applyAlignment="1">
      <alignment horizontal="center"/>
    </xf>
    <xf numFmtId="0" fontId="2" fillId="7" borderId="6" xfId="0" applyFont="1" applyFill="1" applyBorder="1" applyAlignment="1">
      <alignment horizontal="center"/>
    </xf>
    <xf numFmtId="0" fontId="2" fillId="10" borderId="1" xfId="0" applyFont="1" applyFill="1" applyBorder="1" applyAlignment="1">
      <alignment horizontal="center"/>
    </xf>
    <xf numFmtId="4" fontId="4" fillId="0" borderId="4" xfId="0" applyNumberFormat="1" applyFont="1" applyBorder="1" applyAlignment="1">
      <alignment horizontal="right"/>
    </xf>
    <xf numFmtId="4" fontId="4" fillId="0" borderId="5" xfId="0" applyNumberFormat="1" applyFont="1" applyBorder="1" applyAlignment="1">
      <alignment horizontal="right"/>
    </xf>
    <xf numFmtId="4" fontId="4" fillId="0" borderId="6" xfId="0" applyNumberFormat="1" applyFont="1" applyBorder="1" applyAlignment="1">
      <alignment horizontal="right"/>
    </xf>
    <xf numFmtId="0" fontId="2" fillId="3" borderId="4" xfId="0" applyFont="1" applyFill="1" applyBorder="1" applyAlignment="1">
      <alignment horizontal="right"/>
    </xf>
    <xf numFmtId="0" fontId="2" fillId="3" borderId="5" xfId="0" applyFont="1" applyFill="1" applyBorder="1" applyAlignment="1">
      <alignment horizontal="right"/>
    </xf>
    <xf numFmtId="0" fontId="2" fillId="3" borderId="6" xfId="0" applyFont="1" applyFill="1" applyBorder="1" applyAlignment="1">
      <alignment horizontal="right"/>
    </xf>
    <xf numFmtId="0" fontId="2" fillId="4" borderId="4" xfId="0" applyFont="1" applyFill="1" applyBorder="1" applyAlignment="1">
      <alignment horizontal="right"/>
    </xf>
    <xf numFmtId="0" fontId="2" fillId="4" borderId="5" xfId="0" applyFont="1" applyFill="1" applyBorder="1" applyAlignment="1">
      <alignment horizontal="right"/>
    </xf>
    <xf numFmtId="0" fontId="2" fillId="4" borderId="6" xfId="0" applyFont="1" applyFill="1" applyBorder="1" applyAlignment="1">
      <alignment horizontal="right"/>
    </xf>
    <xf numFmtId="0" fontId="2" fillId="5" borderId="4" xfId="0" applyFont="1" applyFill="1" applyBorder="1" applyAlignment="1">
      <alignment horizontal="right"/>
    </xf>
    <xf numFmtId="0" fontId="2" fillId="5" borderId="5" xfId="0" applyFont="1" applyFill="1" applyBorder="1" applyAlignment="1">
      <alignment horizontal="right"/>
    </xf>
    <xf numFmtId="0" fontId="2" fillId="5" borderId="6" xfId="0" applyFont="1" applyFill="1" applyBorder="1" applyAlignment="1">
      <alignment horizontal="right"/>
    </xf>
    <xf numFmtId="0" fontId="2" fillId="6" borderId="4" xfId="0" applyFont="1" applyFill="1" applyBorder="1" applyAlignment="1">
      <alignment horizontal="right"/>
    </xf>
    <xf numFmtId="0" fontId="2" fillId="6" borderId="5" xfId="0" applyFont="1" applyFill="1" applyBorder="1" applyAlignment="1">
      <alignment horizontal="right"/>
    </xf>
    <xf numFmtId="0" fontId="2" fillId="6" borderId="6" xfId="0" applyFont="1" applyFill="1" applyBorder="1" applyAlignment="1">
      <alignment horizontal="right"/>
    </xf>
    <xf numFmtId="0" fontId="0" fillId="5" borderId="4" xfId="0" applyFill="1" applyBorder="1" applyAlignment="1">
      <alignment horizontal="right"/>
    </xf>
    <xf numFmtId="0" fontId="0" fillId="5" borderId="5" xfId="0" applyFill="1" applyBorder="1" applyAlignment="1">
      <alignment horizontal="right"/>
    </xf>
    <xf numFmtId="0" fontId="0" fillId="5" borderId="6" xfId="0" applyFill="1" applyBorder="1" applyAlignment="1">
      <alignment horizontal="right"/>
    </xf>
    <xf numFmtId="4" fontId="2" fillId="10" borderId="1" xfId="0" applyNumberFormat="1" applyFont="1" applyFill="1" applyBorder="1" applyAlignment="1">
      <alignment horizontal="right"/>
    </xf>
    <xf numFmtId="3" fontId="0" fillId="3" borderId="1" xfId="0" applyNumberFormat="1" applyFill="1" applyBorder="1" applyAlignment="1">
      <alignment horizontal="center"/>
    </xf>
    <xf numFmtId="3" fontId="2" fillId="7" borderId="1" xfId="0" applyNumberFormat="1" applyFont="1" applyFill="1" applyBorder="1" applyAlignment="1">
      <alignment horizontal="center"/>
    </xf>
    <xf numFmtId="4" fontId="2" fillId="9" borderId="4" xfId="0" applyNumberFormat="1" applyFont="1" applyFill="1" applyBorder="1" applyAlignment="1">
      <alignment horizontal="right"/>
    </xf>
    <xf numFmtId="4" fontId="2" fillId="9" borderId="5" xfId="0" applyNumberFormat="1" applyFont="1" applyFill="1" applyBorder="1" applyAlignment="1">
      <alignment horizontal="right"/>
    </xf>
    <xf numFmtId="4" fontId="2" fillId="9" borderId="6" xfId="0" applyNumberFormat="1" applyFont="1" applyFill="1" applyBorder="1" applyAlignment="1">
      <alignment horizontal="right"/>
    </xf>
    <xf numFmtId="4" fontId="2" fillId="7" borderId="4" xfId="0" applyNumberFormat="1" applyFont="1" applyFill="1" applyBorder="1" applyAlignment="1">
      <alignment horizontal="right"/>
    </xf>
    <xf numFmtId="4" fontId="2" fillId="7" borderId="5" xfId="0" applyNumberFormat="1" applyFont="1" applyFill="1" applyBorder="1" applyAlignment="1">
      <alignment horizontal="right"/>
    </xf>
    <xf numFmtId="4" fontId="2" fillId="7" borderId="6" xfId="0" applyNumberFormat="1" applyFont="1" applyFill="1" applyBorder="1" applyAlignment="1">
      <alignment horizontal="right"/>
    </xf>
    <xf numFmtId="4" fontId="0" fillId="3" borderId="4" xfId="0" applyNumberFormat="1" applyFill="1" applyBorder="1" applyAlignment="1">
      <alignment horizontal="right"/>
    </xf>
    <xf numFmtId="4" fontId="0" fillId="3" borderId="5" xfId="0" applyNumberFormat="1" applyFill="1" applyBorder="1" applyAlignment="1">
      <alignment horizontal="right"/>
    </xf>
    <xf numFmtId="4" fontId="0" fillId="3" borderId="6" xfId="0" applyNumberFormat="1" applyFill="1" applyBorder="1" applyAlignment="1">
      <alignment horizontal="right"/>
    </xf>
    <xf numFmtId="4" fontId="2" fillId="7" borderId="1" xfId="0" applyNumberFormat="1" applyFont="1" applyFill="1" applyBorder="1" applyAlignment="1">
      <alignment horizontal="right"/>
    </xf>
    <xf numFmtId="4" fontId="5" fillId="4" borderId="1" xfId="0" applyNumberFormat="1" applyFont="1" applyFill="1" applyBorder="1" applyAlignment="1">
      <alignment horizontal="right"/>
    </xf>
    <xf numFmtId="4" fontId="2" fillId="11" borderId="4" xfId="0" applyNumberFormat="1" applyFont="1" applyFill="1" applyBorder="1" applyAlignment="1">
      <alignment horizontal="right"/>
    </xf>
    <xf numFmtId="4" fontId="2" fillId="11" borderId="6" xfId="0" applyNumberFormat="1" applyFont="1" applyFill="1" applyBorder="1" applyAlignment="1">
      <alignment horizontal="right"/>
    </xf>
    <xf numFmtId="4" fontId="5" fillId="4" borderId="4" xfId="0" applyNumberFormat="1" applyFont="1" applyFill="1" applyBorder="1" applyAlignment="1">
      <alignment horizontal="right"/>
    </xf>
    <xf numFmtId="4" fontId="5" fillId="4" borderId="6" xfId="0" applyNumberFormat="1" applyFont="1" applyFill="1" applyBorder="1" applyAlignment="1">
      <alignment horizontal="right"/>
    </xf>
    <xf numFmtId="0" fontId="7" fillId="12" borderId="4" xfId="0" applyFont="1" applyFill="1" applyBorder="1" applyAlignment="1">
      <alignment horizontal="center"/>
    </xf>
    <xf numFmtId="0" fontId="7" fillId="12" borderId="6" xfId="0" applyFont="1" applyFill="1" applyBorder="1" applyAlignment="1">
      <alignment horizontal="center"/>
    </xf>
    <xf numFmtId="0" fontId="7" fillId="12" borderId="1" xfId="0" applyFont="1" applyFill="1" applyBorder="1" applyAlignment="1">
      <alignment horizontal="center"/>
    </xf>
    <xf numFmtId="4" fontId="4" fillId="4" borderId="1" xfId="0" applyNumberFormat="1" applyFont="1" applyFill="1" applyBorder="1" applyAlignment="1">
      <alignment horizontal="right"/>
    </xf>
    <xf numFmtId="4" fontId="4" fillId="4" borderId="4" xfId="0" applyNumberFormat="1" applyFont="1" applyFill="1" applyBorder="1" applyAlignment="1">
      <alignment horizontal="right"/>
    </xf>
    <xf numFmtId="4" fontId="4" fillId="4" borderId="6" xfId="0" applyNumberFormat="1" applyFont="1" applyFill="1" applyBorder="1" applyAlignment="1">
      <alignment horizontal="right"/>
    </xf>
    <xf numFmtId="4" fontId="2" fillId="12" borderId="4" xfId="0" applyNumberFormat="1" applyFont="1" applyFill="1" applyBorder="1" applyAlignment="1">
      <alignment horizontal="right"/>
    </xf>
    <xf numFmtId="4" fontId="2" fillId="12" borderId="6" xfId="0" applyNumberFormat="1" applyFont="1" applyFill="1" applyBorder="1" applyAlignment="1">
      <alignment horizontal="right"/>
    </xf>
    <xf numFmtId="4" fontId="2" fillId="14" borderId="1" xfId="0" applyNumberFormat="1" applyFont="1" applyFill="1" applyBorder="1" applyAlignment="1">
      <alignment horizontal="center"/>
    </xf>
    <xf numFmtId="0" fontId="2" fillId="14" borderId="1" xfId="0" applyFont="1" applyFill="1" applyBorder="1" applyAlignment="1">
      <alignment horizontal="center"/>
    </xf>
    <xf numFmtId="0" fontId="12" fillId="10" borderId="2" xfId="0" applyFont="1" applyFill="1" applyBorder="1" applyAlignment="1">
      <alignment horizontal="center" vertical="center"/>
    </xf>
    <xf numFmtId="0" fontId="12" fillId="10" borderId="3" xfId="0" applyFont="1" applyFill="1" applyBorder="1" applyAlignment="1">
      <alignment horizontal="center" vertical="center"/>
    </xf>
    <xf numFmtId="0" fontId="0" fillId="9" borderId="1" xfId="0" applyFill="1" applyBorder="1" applyAlignment="1">
      <alignment horizontal="center"/>
    </xf>
    <xf numFmtId="0" fontId="15" fillId="9" borderId="1" xfId="0" applyFont="1" applyFill="1" applyBorder="1" applyAlignment="1">
      <alignment horizontal="center" vertical="center"/>
    </xf>
    <xf numFmtId="4" fontId="2" fillId="11" borderId="1" xfId="0" applyNumberFormat="1" applyFont="1" applyFill="1" applyBorder="1" applyAlignment="1">
      <alignment horizontal="right"/>
    </xf>
  </cellXfs>
  <cellStyles count="2">
    <cellStyle name="Normal" xfId="0" builtinId="0"/>
    <cellStyle name="Porcentagem"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361450</xdr:colOff>
      <xdr:row>3</xdr:row>
      <xdr:rowOff>105215</xdr:rowOff>
    </xdr:to>
    <xdr:pic>
      <xdr:nvPicPr>
        <xdr:cNvPr id="3" name="Imagem 2">
          <a:extLst>
            <a:ext uri="{FF2B5EF4-FFF2-40B4-BE49-F238E27FC236}">
              <a16:creationId xmlns:a16="http://schemas.microsoft.com/office/drawing/2014/main" id="{DCE3818C-3D7E-8E73-4A53-03AB92190A9E}"/>
            </a:ext>
          </a:extLst>
        </xdr:cNvPr>
        <xdr:cNvPicPr>
          <a:picLocks noChangeAspect="1"/>
        </xdr:cNvPicPr>
      </xdr:nvPicPr>
      <xdr:blipFill>
        <a:blip xmlns:r="http://schemas.openxmlformats.org/officeDocument/2006/relationships" r:embed="rId1"/>
        <a:stretch>
          <a:fillRect/>
        </a:stretch>
      </xdr:blipFill>
      <xdr:spPr>
        <a:xfrm>
          <a:off x="0" y="0"/>
          <a:ext cx="7419475" cy="676715"/>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B4630-5D09-475E-9573-03E70CEF9D42}">
  <dimension ref="A1:AB115"/>
  <sheetViews>
    <sheetView tabSelected="1" workbookViewId="0">
      <pane xSplit="1" topLeftCell="B1" activePane="topRight" state="frozen"/>
      <selection activeCell="A76" sqref="A76"/>
      <selection pane="topRight" activeCell="N11" sqref="N11:P11"/>
    </sheetView>
  </sheetViews>
  <sheetFormatPr defaultRowHeight="15" x14ac:dyDescent="0.25"/>
  <cols>
    <col min="1" max="1" width="55" bestFit="1" customWidth="1"/>
    <col min="2" max="3" width="5" customWidth="1"/>
    <col min="4" max="4" width="11.7109375" bestFit="1" customWidth="1"/>
    <col min="5" max="6" width="5" customWidth="1"/>
    <col min="8" max="9" width="5" customWidth="1"/>
    <col min="10" max="10" width="10.140625" bestFit="1" customWidth="1"/>
    <col min="11" max="12" width="5" customWidth="1"/>
    <col min="14" max="15" width="5" customWidth="1"/>
    <col min="16" max="16" width="10.140625" bestFit="1" customWidth="1"/>
    <col min="17" max="18" width="5" customWidth="1"/>
    <col min="20" max="21" width="5" customWidth="1"/>
    <col min="22" max="22" width="10.140625" bestFit="1" customWidth="1"/>
    <col min="23" max="24" width="5" customWidth="1"/>
    <col min="25" max="25" width="10.140625" bestFit="1" customWidth="1"/>
    <col min="28" max="28" width="11.42578125" customWidth="1"/>
  </cols>
  <sheetData>
    <row r="1" spans="1:28" x14ac:dyDescent="0.25">
      <c r="A1" s="57"/>
      <c r="B1" s="57"/>
      <c r="C1" s="57"/>
      <c r="D1" s="57"/>
      <c r="E1" s="57"/>
      <c r="F1" s="57"/>
      <c r="G1" s="57"/>
      <c r="H1" s="57"/>
      <c r="I1" s="57"/>
      <c r="J1" s="57"/>
      <c r="K1" s="57"/>
      <c r="L1" s="57"/>
      <c r="M1" s="57"/>
      <c r="N1" s="57"/>
      <c r="O1" s="57"/>
      <c r="P1" s="57"/>
      <c r="Q1" s="57"/>
      <c r="R1" s="57"/>
      <c r="S1" s="57"/>
      <c r="T1" s="57"/>
      <c r="U1" s="57"/>
      <c r="V1" s="57"/>
      <c r="W1" s="57"/>
      <c r="X1" s="57"/>
      <c r="Y1" s="57"/>
      <c r="Z1" s="57"/>
      <c r="AA1" s="57"/>
      <c r="AB1" s="57"/>
    </row>
    <row r="2" spans="1:28" x14ac:dyDescent="0.25">
      <c r="A2" s="57"/>
      <c r="B2" s="57"/>
      <c r="C2" s="57"/>
      <c r="D2" s="57"/>
      <c r="E2" s="57"/>
      <c r="F2" s="57"/>
      <c r="G2" s="57"/>
      <c r="H2" s="57"/>
      <c r="I2" s="57"/>
      <c r="J2" s="57"/>
      <c r="K2" s="57"/>
      <c r="L2" s="57"/>
      <c r="M2" s="57"/>
      <c r="N2" s="57"/>
      <c r="O2" s="57"/>
      <c r="P2" s="57"/>
      <c r="Q2" s="57"/>
      <c r="R2" s="57"/>
      <c r="S2" s="57"/>
      <c r="T2" s="57"/>
      <c r="U2" s="57"/>
      <c r="V2" s="57"/>
      <c r="W2" s="57"/>
      <c r="X2" s="57"/>
      <c r="Y2" s="57"/>
      <c r="Z2" s="57"/>
      <c r="AA2" s="57"/>
      <c r="AB2" s="57"/>
    </row>
    <row r="3" spans="1:28" x14ac:dyDescent="0.25">
      <c r="A3" s="57"/>
      <c r="B3" s="57"/>
      <c r="C3" s="57"/>
      <c r="D3" s="57"/>
      <c r="E3" s="57"/>
      <c r="F3" s="57"/>
      <c r="G3" s="57"/>
      <c r="H3" s="57"/>
      <c r="I3" s="57"/>
      <c r="J3" s="57"/>
      <c r="K3" s="57"/>
      <c r="L3" s="57"/>
      <c r="M3" s="57"/>
      <c r="N3" s="57"/>
      <c r="O3" s="57"/>
      <c r="P3" s="57"/>
      <c r="Q3" s="57"/>
      <c r="R3" s="57"/>
      <c r="S3" s="57"/>
      <c r="T3" s="57"/>
      <c r="U3" s="57"/>
      <c r="V3" s="57"/>
      <c r="W3" s="57"/>
      <c r="X3" s="57"/>
      <c r="Y3" s="57"/>
      <c r="Z3" s="57"/>
      <c r="AA3" s="57"/>
      <c r="AB3" s="57"/>
    </row>
    <row r="4" spans="1:28" x14ac:dyDescent="0.25">
      <c r="A4" s="58"/>
      <c r="B4" s="58"/>
      <c r="C4" s="58"/>
      <c r="D4" s="58"/>
      <c r="E4" s="58"/>
      <c r="F4" s="58"/>
      <c r="G4" s="58"/>
      <c r="H4" s="58"/>
      <c r="I4" s="58"/>
      <c r="J4" s="58"/>
      <c r="K4" s="58"/>
      <c r="L4" s="58"/>
      <c r="M4" s="58"/>
      <c r="N4" s="58"/>
      <c r="O4" s="58"/>
      <c r="P4" s="58"/>
      <c r="Q4" s="58"/>
      <c r="R4" s="58"/>
      <c r="S4" s="58"/>
      <c r="T4" s="58"/>
      <c r="U4" s="58"/>
      <c r="V4" s="58"/>
      <c r="W4" s="58"/>
      <c r="X4" s="58"/>
      <c r="Y4" s="58"/>
      <c r="Z4" s="58"/>
      <c r="AA4" s="58"/>
      <c r="AB4" s="58"/>
    </row>
    <row r="5" spans="1:28" x14ac:dyDescent="0.25">
      <c r="A5" s="59" t="s">
        <v>110</v>
      </c>
      <c r="B5" s="60"/>
      <c r="C5" s="60"/>
      <c r="D5" s="60"/>
      <c r="E5" s="60"/>
      <c r="F5" s="60"/>
      <c r="G5" s="60"/>
      <c r="H5" s="60"/>
      <c r="I5" s="60"/>
      <c r="J5" s="60"/>
      <c r="K5" s="60"/>
      <c r="L5" s="60"/>
      <c r="M5" s="60"/>
      <c r="N5" s="60"/>
      <c r="O5" s="60"/>
      <c r="P5" s="60"/>
      <c r="Q5" s="60"/>
      <c r="R5" s="60"/>
      <c r="S5" s="60"/>
      <c r="T5" s="60"/>
      <c r="U5" s="60"/>
      <c r="V5" s="60"/>
      <c r="W5" s="60"/>
      <c r="X5" s="60"/>
      <c r="Y5" s="60"/>
      <c r="Z5" s="60"/>
      <c r="AA5" s="60"/>
      <c r="AB5" s="61"/>
    </row>
    <row r="6" spans="1:28" ht="24" customHeight="1" x14ac:dyDescent="0.25">
      <c r="A6" s="62"/>
      <c r="B6" s="63"/>
      <c r="C6" s="63"/>
      <c r="D6" s="63"/>
      <c r="E6" s="63"/>
      <c r="F6" s="63"/>
      <c r="G6" s="63"/>
      <c r="H6" s="63"/>
      <c r="I6" s="63"/>
      <c r="J6" s="63"/>
      <c r="K6" s="63"/>
      <c r="L6" s="63"/>
      <c r="M6" s="63"/>
      <c r="N6" s="63"/>
      <c r="O6" s="63"/>
      <c r="P6" s="63"/>
      <c r="Q6" s="63"/>
      <c r="R6" s="63"/>
      <c r="S6" s="63"/>
      <c r="T6" s="63"/>
      <c r="U6" s="63"/>
      <c r="V6" s="63"/>
      <c r="W6" s="63"/>
      <c r="X6" s="63"/>
      <c r="Y6" s="63"/>
      <c r="Z6" s="63"/>
      <c r="AA6" s="63"/>
      <c r="AB6" s="64"/>
    </row>
    <row r="9" spans="1:28" x14ac:dyDescent="0.25">
      <c r="A9" s="139"/>
      <c r="B9" s="139"/>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row>
    <row r="11" spans="1:28" x14ac:dyDescent="0.25">
      <c r="A11" s="2" t="s">
        <v>0</v>
      </c>
      <c r="B11" s="69" t="s">
        <v>1</v>
      </c>
      <c r="C11" s="70"/>
      <c r="D11" s="71"/>
      <c r="E11" s="90" t="s">
        <v>2</v>
      </c>
      <c r="F11" s="90"/>
      <c r="G11" s="90"/>
      <c r="H11" s="90" t="s">
        <v>103</v>
      </c>
      <c r="I11" s="90"/>
      <c r="J11" s="90"/>
      <c r="K11" s="90" t="s">
        <v>104</v>
      </c>
      <c r="L11" s="90"/>
      <c r="M11" s="90"/>
      <c r="N11" s="90" t="s">
        <v>105</v>
      </c>
      <c r="O11" s="90"/>
      <c r="P11" s="90"/>
      <c r="Q11" s="90" t="s">
        <v>106</v>
      </c>
      <c r="R11" s="90"/>
      <c r="S11" s="90"/>
      <c r="T11" s="90" t="s">
        <v>107</v>
      </c>
      <c r="U11" s="90"/>
      <c r="V11" s="90"/>
      <c r="W11" s="90" t="s">
        <v>3</v>
      </c>
      <c r="X11" s="90"/>
      <c r="Y11" s="90"/>
      <c r="Z11" s="129" t="s">
        <v>4</v>
      </c>
      <c r="AA11" s="129"/>
      <c r="AB11" s="129"/>
    </row>
    <row r="12" spans="1:28" x14ac:dyDescent="0.25">
      <c r="A12" s="3" t="s">
        <v>5</v>
      </c>
      <c r="B12" s="66">
        <v>9586.0300000000007</v>
      </c>
      <c r="C12" s="66"/>
      <c r="D12" s="66"/>
      <c r="E12" s="94"/>
      <c r="F12" s="95"/>
      <c r="G12" s="96"/>
      <c r="H12" s="94"/>
      <c r="I12" s="95"/>
      <c r="J12" s="96"/>
      <c r="K12" s="94"/>
      <c r="L12" s="95"/>
      <c r="M12" s="96"/>
      <c r="N12" s="94"/>
      <c r="O12" s="95"/>
      <c r="P12" s="96"/>
      <c r="Q12" s="94"/>
      <c r="R12" s="95"/>
      <c r="S12" s="96"/>
      <c r="T12" s="94"/>
      <c r="U12" s="95"/>
      <c r="V12" s="96"/>
      <c r="W12" s="94"/>
      <c r="X12" s="95"/>
      <c r="Y12" s="96"/>
      <c r="Z12" s="66">
        <v>9586.0300000000007</v>
      </c>
      <c r="AA12" s="66"/>
      <c r="AB12" s="66"/>
    </row>
    <row r="13" spans="1:28" x14ac:dyDescent="0.25">
      <c r="A13" s="4" t="s">
        <v>6</v>
      </c>
      <c r="B13" s="65">
        <v>13836</v>
      </c>
      <c r="C13" s="65"/>
      <c r="D13" s="65"/>
      <c r="E13" s="97"/>
      <c r="F13" s="98"/>
      <c r="G13" s="99"/>
      <c r="H13" s="97"/>
      <c r="I13" s="98"/>
      <c r="J13" s="99"/>
      <c r="K13" s="97"/>
      <c r="L13" s="98"/>
      <c r="M13" s="99"/>
      <c r="N13" s="97"/>
      <c r="O13" s="98"/>
      <c r="P13" s="99"/>
      <c r="Q13" s="97"/>
      <c r="R13" s="98"/>
      <c r="S13" s="99"/>
      <c r="T13" s="97"/>
      <c r="U13" s="98"/>
      <c r="V13" s="99"/>
      <c r="W13" s="94"/>
      <c r="X13" s="95"/>
      <c r="Y13" s="96"/>
      <c r="Z13" s="65"/>
      <c r="AA13" s="65"/>
      <c r="AB13" s="65"/>
    </row>
    <row r="14" spans="1:28" x14ac:dyDescent="0.25">
      <c r="A14" s="4" t="s">
        <v>7</v>
      </c>
      <c r="B14" s="65">
        <v>642.76</v>
      </c>
      <c r="C14" s="65"/>
      <c r="D14" s="65"/>
      <c r="E14" s="97"/>
      <c r="F14" s="98"/>
      <c r="G14" s="99"/>
      <c r="H14" s="97"/>
      <c r="I14" s="98"/>
      <c r="J14" s="99"/>
      <c r="K14" s="97"/>
      <c r="L14" s="98"/>
      <c r="M14" s="99"/>
      <c r="N14" s="97"/>
      <c r="O14" s="98"/>
      <c r="P14" s="99"/>
      <c r="Q14" s="97"/>
      <c r="R14" s="98"/>
      <c r="S14" s="99"/>
      <c r="T14" s="97"/>
      <c r="U14" s="98"/>
      <c r="V14" s="99"/>
      <c r="W14" s="94"/>
      <c r="X14" s="95"/>
      <c r="Y14" s="96"/>
      <c r="Z14" s="65">
        <v>3678042.01</v>
      </c>
      <c r="AA14" s="65"/>
      <c r="AB14" s="65"/>
    </row>
    <row r="15" spans="1:28" x14ac:dyDescent="0.25">
      <c r="A15" s="4" t="s">
        <v>8</v>
      </c>
      <c r="B15" s="65">
        <v>-4892.7299999999996</v>
      </c>
      <c r="C15" s="65"/>
      <c r="D15" s="65"/>
      <c r="E15" s="97"/>
      <c r="F15" s="98"/>
      <c r="G15" s="99"/>
      <c r="H15" s="97"/>
      <c r="I15" s="98"/>
      <c r="J15" s="99"/>
      <c r="K15" s="97"/>
      <c r="L15" s="98"/>
      <c r="M15" s="99"/>
      <c r="N15" s="97"/>
      <c r="O15" s="98"/>
      <c r="P15" s="99"/>
      <c r="Q15" s="97"/>
      <c r="R15" s="98"/>
      <c r="S15" s="99"/>
      <c r="T15" s="97"/>
      <c r="U15" s="98"/>
      <c r="V15" s="99"/>
      <c r="W15" s="94"/>
      <c r="X15" s="95"/>
      <c r="Y15" s="96"/>
      <c r="Z15" s="65"/>
      <c r="AA15" s="65"/>
      <c r="AB15" s="65"/>
    </row>
    <row r="16" spans="1:28" x14ac:dyDescent="0.25">
      <c r="A16" s="5" t="s">
        <v>9</v>
      </c>
      <c r="B16" s="74">
        <v>7482215.21</v>
      </c>
      <c r="C16" s="74"/>
      <c r="D16" s="74"/>
      <c r="E16" s="100"/>
      <c r="F16" s="101"/>
      <c r="G16" s="102"/>
      <c r="H16" s="100"/>
      <c r="I16" s="101"/>
      <c r="J16" s="102"/>
      <c r="K16" s="100"/>
      <c r="L16" s="101"/>
      <c r="M16" s="102"/>
      <c r="N16" s="100"/>
      <c r="O16" s="101"/>
      <c r="P16" s="102"/>
      <c r="Q16" s="100"/>
      <c r="R16" s="101"/>
      <c r="S16" s="102"/>
      <c r="T16" s="100"/>
      <c r="U16" s="101"/>
      <c r="V16" s="102"/>
      <c r="W16" s="100"/>
      <c r="X16" s="101"/>
      <c r="Y16" s="102"/>
      <c r="Z16" s="74">
        <v>7517500.7700000005</v>
      </c>
      <c r="AA16" s="74"/>
      <c r="AB16" s="74"/>
    </row>
    <row r="17" spans="1:28" x14ac:dyDescent="0.25">
      <c r="A17" s="6" t="s">
        <v>10</v>
      </c>
      <c r="B17" s="73">
        <v>4141891.3</v>
      </c>
      <c r="C17" s="73"/>
      <c r="D17" s="73"/>
      <c r="E17" s="103"/>
      <c r="F17" s="104"/>
      <c r="G17" s="105"/>
      <c r="H17" s="103"/>
      <c r="I17" s="104"/>
      <c r="J17" s="105"/>
      <c r="K17" s="103"/>
      <c r="L17" s="104"/>
      <c r="M17" s="105"/>
      <c r="N17" s="103"/>
      <c r="O17" s="104"/>
      <c r="P17" s="105"/>
      <c r="Q17" s="103"/>
      <c r="R17" s="104"/>
      <c r="S17" s="105"/>
      <c r="T17" s="103"/>
      <c r="U17" s="104"/>
      <c r="V17" s="105"/>
      <c r="W17" s="103"/>
      <c r="X17" s="104"/>
      <c r="Y17" s="105"/>
      <c r="Z17" s="73">
        <v>4169015.9000000004</v>
      </c>
      <c r="AA17" s="73"/>
      <c r="AB17" s="73"/>
    </row>
    <row r="18" spans="1:28" x14ac:dyDescent="0.25">
      <c r="A18" s="5" t="s">
        <v>11</v>
      </c>
      <c r="B18" s="72">
        <f>B16-B17</f>
        <v>3340323.91</v>
      </c>
      <c r="C18" s="72"/>
      <c r="D18" s="72"/>
      <c r="E18" s="106"/>
      <c r="F18" s="107"/>
      <c r="G18" s="108"/>
      <c r="H18" s="106"/>
      <c r="I18" s="107"/>
      <c r="J18" s="108"/>
      <c r="K18" s="106"/>
      <c r="L18" s="107"/>
      <c r="M18" s="108"/>
      <c r="N18" s="106"/>
      <c r="O18" s="107"/>
      <c r="P18" s="108"/>
      <c r="Q18" s="106"/>
      <c r="R18" s="107"/>
      <c r="S18" s="108"/>
      <c r="T18" s="106"/>
      <c r="U18" s="107"/>
      <c r="V18" s="108"/>
      <c r="W18" s="106"/>
      <c r="X18" s="107"/>
      <c r="Y18" s="108"/>
      <c r="Z18" s="72">
        <v>3358070.9</v>
      </c>
      <c r="AA18" s="72"/>
      <c r="AB18" s="72"/>
    </row>
    <row r="21" spans="1:28" x14ac:dyDescent="0.25">
      <c r="A21" s="83" t="s">
        <v>12</v>
      </c>
      <c r="B21" s="69" t="s">
        <v>1</v>
      </c>
      <c r="C21" s="70"/>
      <c r="D21" s="71"/>
      <c r="E21" s="90" t="s">
        <v>2</v>
      </c>
      <c r="F21" s="90"/>
      <c r="G21" s="90"/>
      <c r="H21" s="90" t="s">
        <v>103</v>
      </c>
      <c r="I21" s="90"/>
      <c r="J21" s="90"/>
      <c r="K21" s="90" t="s">
        <v>104</v>
      </c>
      <c r="L21" s="90"/>
      <c r="M21" s="90"/>
      <c r="N21" s="90" t="s">
        <v>105</v>
      </c>
      <c r="O21" s="90"/>
      <c r="P21" s="90"/>
      <c r="Q21" s="90" t="s">
        <v>106</v>
      </c>
      <c r="R21" s="90"/>
      <c r="S21" s="90"/>
      <c r="T21" s="90" t="s">
        <v>107</v>
      </c>
      <c r="U21" s="90"/>
      <c r="V21" s="90"/>
      <c r="W21" s="90" t="s">
        <v>3</v>
      </c>
      <c r="X21" s="90"/>
      <c r="Y21" s="90"/>
      <c r="Z21" s="137" t="s">
        <v>13</v>
      </c>
      <c r="AA21" s="127" t="s">
        <v>4</v>
      </c>
      <c r="AB21" s="128"/>
    </row>
    <row r="22" spans="1:28" x14ac:dyDescent="0.25">
      <c r="A22" s="84"/>
      <c r="B22" s="67" t="s">
        <v>14</v>
      </c>
      <c r="C22" s="68"/>
      <c r="D22" s="26" t="s">
        <v>15</v>
      </c>
      <c r="E22" s="26" t="s">
        <v>16</v>
      </c>
      <c r="F22" s="26" t="s">
        <v>17</v>
      </c>
      <c r="G22" s="32" t="s">
        <v>15</v>
      </c>
      <c r="H22" s="26" t="s">
        <v>16</v>
      </c>
      <c r="I22" s="26" t="s">
        <v>17</v>
      </c>
      <c r="J22" s="32" t="s">
        <v>15</v>
      </c>
      <c r="K22" s="26" t="s">
        <v>16</v>
      </c>
      <c r="L22" s="26" t="s">
        <v>17</v>
      </c>
      <c r="M22" s="32" t="s">
        <v>15</v>
      </c>
      <c r="N22" s="26" t="s">
        <v>16</v>
      </c>
      <c r="O22" s="26" t="s">
        <v>17</v>
      </c>
      <c r="P22" s="32" t="s">
        <v>15</v>
      </c>
      <c r="Q22" s="26" t="s">
        <v>16</v>
      </c>
      <c r="R22" s="26" t="s">
        <v>17</v>
      </c>
      <c r="S22" s="32" t="s">
        <v>15</v>
      </c>
      <c r="T22" s="26" t="s">
        <v>16</v>
      </c>
      <c r="U22" s="26" t="s">
        <v>17</v>
      </c>
      <c r="V22" s="32" t="s">
        <v>15</v>
      </c>
      <c r="W22" s="26" t="s">
        <v>16</v>
      </c>
      <c r="X22" s="26" t="s">
        <v>17</v>
      </c>
      <c r="Y22" s="32" t="s">
        <v>15</v>
      </c>
      <c r="Z22" s="138"/>
      <c r="AA22" s="30" t="s">
        <v>14</v>
      </c>
      <c r="AB22" s="34" t="s">
        <v>15</v>
      </c>
    </row>
    <row r="23" spans="1:28" x14ac:dyDescent="0.25">
      <c r="A23" s="7" t="s">
        <v>18</v>
      </c>
      <c r="B23" s="110">
        <v>158</v>
      </c>
      <c r="C23" s="110"/>
      <c r="D23" s="27">
        <v>208300.66</v>
      </c>
      <c r="E23" s="29"/>
      <c r="F23" s="29"/>
      <c r="G23" s="37"/>
      <c r="H23" s="29"/>
      <c r="I23" s="29"/>
      <c r="J23" s="37"/>
      <c r="K23" s="29"/>
      <c r="L23" s="29"/>
      <c r="M23" s="37"/>
      <c r="N23" s="29"/>
      <c r="O23" s="29"/>
      <c r="P23" s="37"/>
      <c r="Q23" s="29"/>
      <c r="R23" s="29"/>
      <c r="S23" s="37"/>
      <c r="T23" s="29"/>
      <c r="U23" s="29"/>
      <c r="V23" s="37"/>
      <c r="W23" s="29"/>
      <c r="X23" s="29"/>
      <c r="Y23" s="33"/>
      <c r="Z23" s="39"/>
      <c r="AA23" s="42">
        <v>158</v>
      </c>
      <c r="AB23" s="35">
        <v>208300.66</v>
      </c>
    </row>
    <row r="24" spans="1:28" x14ac:dyDescent="0.25">
      <c r="A24" s="4" t="s">
        <v>19</v>
      </c>
      <c r="B24" s="110">
        <v>7373</v>
      </c>
      <c r="C24" s="110"/>
      <c r="D24" s="27">
        <v>6494787.3700000001</v>
      </c>
      <c r="E24" s="29">
        <v>-10</v>
      </c>
      <c r="F24" s="29">
        <v>2</v>
      </c>
      <c r="G24" s="33">
        <v>1200</v>
      </c>
      <c r="H24" s="29">
        <f>-8</f>
        <v>-8</v>
      </c>
      <c r="I24" s="29">
        <f>1</f>
        <v>1</v>
      </c>
      <c r="J24" s="33">
        <f>20+20+223200+120</f>
        <v>223360</v>
      </c>
      <c r="K24" s="29">
        <f>-7</f>
        <v>-7</v>
      </c>
      <c r="L24" s="29">
        <f>1</f>
        <v>1</v>
      </c>
      <c r="M24" s="33">
        <f>90+120+80+60+60+60+270+30+20+420+30</f>
        <v>1240</v>
      </c>
      <c r="N24" s="29">
        <f>-26</f>
        <v>-26</v>
      </c>
      <c r="O24" s="29">
        <f>3</f>
        <v>3</v>
      </c>
      <c r="P24" s="33">
        <f>30+20+60+222420+30+90</f>
        <v>222650</v>
      </c>
      <c r="Q24" s="29">
        <f>-11</f>
        <v>-11</v>
      </c>
      <c r="R24" s="29">
        <f>6</f>
        <v>6</v>
      </c>
      <c r="S24" s="33">
        <f>90+260+60+30+60+110+30+60+110+30+80+20+270+970</f>
        <v>2180</v>
      </c>
      <c r="T24" s="29">
        <f>-18</f>
        <v>-18</v>
      </c>
      <c r="U24" s="29">
        <f>3</f>
        <v>3</v>
      </c>
      <c r="V24" s="33">
        <f>70+90+90+20+30+222030</f>
        <v>222330</v>
      </c>
      <c r="W24" s="39">
        <f>E24+H24+K24+N24+Q24+T24</f>
        <v>-80</v>
      </c>
      <c r="X24" s="39">
        <f>F24+I24+L24+O24+R24+U24</f>
        <v>16</v>
      </c>
      <c r="Y24" s="33">
        <f>G24+J24+M24+P24+S24+V24</f>
        <v>672960</v>
      </c>
      <c r="Z24" s="43">
        <v>3.4008245866014308E-2</v>
      </c>
      <c r="AA24" s="40">
        <f>7373+W24+X24</f>
        <v>7309</v>
      </c>
      <c r="AB24" s="1">
        <f>6494787.37+Y24</f>
        <v>7167747.3700000001</v>
      </c>
    </row>
    <row r="25" spans="1:28" x14ac:dyDescent="0.25">
      <c r="A25" s="8" t="s">
        <v>20</v>
      </c>
      <c r="B25" s="110"/>
      <c r="C25" s="110"/>
      <c r="D25" s="27">
        <v>728012.45</v>
      </c>
      <c r="E25" s="29"/>
      <c r="F25" s="29"/>
      <c r="G25" s="33">
        <v>34085.560000000005</v>
      </c>
      <c r="H25" s="29"/>
      <c r="I25" s="29"/>
      <c r="J25" s="33">
        <f>626.93+15701.77+9191.17</f>
        <v>25519.870000000003</v>
      </c>
      <c r="K25" s="29"/>
      <c r="L25" s="29"/>
      <c r="M25" s="33">
        <f>301.06+25927.88+11861.62</f>
        <v>38090.560000000005</v>
      </c>
      <c r="N25" s="29"/>
      <c r="O25" s="29"/>
      <c r="P25" s="33">
        <f>25.75+21633.69+9375.74</f>
        <v>31035.18</v>
      </c>
      <c r="Q25" s="29"/>
      <c r="R25" s="29"/>
      <c r="S25" s="33">
        <f>751.28+28535.9+11570.9</f>
        <v>40858.080000000002</v>
      </c>
      <c r="T25" s="29"/>
      <c r="U25" s="29"/>
      <c r="V25" s="33">
        <f>578.29+27434.12+11160.72</f>
        <v>39173.129999999997</v>
      </c>
      <c r="W25" s="29"/>
      <c r="X25" s="29"/>
      <c r="Y25" s="33">
        <f>G25+J25+M25+P25+S25+V25</f>
        <v>208762.38</v>
      </c>
      <c r="Z25" s="44">
        <v>0.96599175413398575</v>
      </c>
      <c r="AA25" s="42"/>
      <c r="AB25" s="1">
        <f>728012.45+Y25</f>
        <v>936774.83</v>
      </c>
    </row>
    <row r="26" spans="1:28" x14ac:dyDescent="0.25">
      <c r="A26" s="9" t="s">
        <v>21</v>
      </c>
      <c r="B26" s="110"/>
      <c r="C26" s="110"/>
      <c r="D26" s="27">
        <v>51114.73</v>
      </c>
      <c r="E26" s="29"/>
      <c r="F26" s="29"/>
      <c r="G26" s="37"/>
      <c r="H26" s="29"/>
      <c r="I26" s="29"/>
      <c r="J26" s="37"/>
      <c r="K26" s="29"/>
      <c r="L26" s="29"/>
      <c r="M26" s="37"/>
      <c r="N26" s="29"/>
      <c r="O26" s="29"/>
      <c r="P26" s="37"/>
      <c r="Q26" s="29"/>
      <c r="R26" s="29"/>
      <c r="S26" s="37"/>
      <c r="T26" s="29"/>
      <c r="U26" s="29"/>
      <c r="V26" s="37"/>
      <c r="W26" s="29"/>
      <c r="X26" s="29"/>
      <c r="Y26" s="33">
        <v>0</v>
      </c>
      <c r="Z26" s="45">
        <v>0</v>
      </c>
      <c r="AA26" s="42"/>
      <c r="AB26" s="35">
        <f>51114.73+Y26</f>
        <v>51114.73</v>
      </c>
    </row>
    <row r="27" spans="1:28" x14ac:dyDescent="0.25">
      <c r="A27" s="10" t="s">
        <v>22</v>
      </c>
      <c r="B27" s="111">
        <f>SUM(B23:C26)</f>
        <v>7531</v>
      </c>
      <c r="C27" s="111"/>
      <c r="D27" s="28">
        <f>SUM(D23:D26)</f>
        <v>7482215.2100000009</v>
      </c>
      <c r="E27" s="88">
        <f>B27+E24+F24</f>
        <v>7523</v>
      </c>
      <c r="F27" s="89"/>
      <c r="G27" s="38">
        <f>SUM(G24:G26)</f>
        <v>35285.560000000005</v>
      </c>
      <c r="H27" s="88">
        <f>E27+H24+I24</f>
        <v>7516</v>
      </c>
      <c r="I27" s="89"/>
      <c r="J27" s="38">
        <f>SUM(J24:J26)</f>
        <v>248879.87</v>
      </c>
      <c r="K27" s="88">
        <f>H27+K24+L24</f>
        <v>7510</v>
      </c>
      <c r="L27" s="89"/>
      <c r="M27" s="38">
        <f>SUM(M24:M26)</f>
        <v>39330.560000000005</v>
      </c>
      <c r="N27" s="88">
        <f>K27+N24+O24</f>
        <v>7487</v>
      </c>
      <c r="O27" s="89"/>
      <c r="P27" s="38">
        <f>SUM(P24:P26)</f>
        <v>253685.18</v>
      </c>
      <c r="Q27" s="88">
        <f>N27+Q24+R24</f>
        <v>7482</v>
      </c>
      <c r="R27" s="89"/>
      <c r="S27" s="38">
        <f>SUM(S24:S26)</f>
        <v>43038.080000000002</v>
      </c>
      <c r="T27" s="88">
        <f>Q27+T24+U24</f>
        <v>7467</v>
      </c>
      <c r="U27" s="89"/>
      <c r="V27" s="38">
        <f>SUM(V24:V26)</f>
        <v>261503.13</v>
      </c>
      <c r="W27" s="88">
        <f>B27+W24+X24</f>
        <v>7467</v>
      </c>
      <c r="X27" s="89"/>
      <c r="Y27" s="38">
        <f>SUM(Y24:Y26)</f>
        <v>881722.38</v>
      </c>
      <c r="Z27" s="46">
        <v>1</v>
      </c>
      <c r="AA27" s="41">
        <f>SUM(AA23:AA26)</f>
        <v>7467</v>
      </c>
      <c r="AB27" s="36">
        <f>SUM(AB23:AB26)</f>
        <v>8363937.5900000008</v>
      </c>
    </row>
    <row r="30" spans="1:28" ht="15.75" x14ac:dyDescent="0.25">
      <c r="A30" s="140" t="s">
        <v>23</v>
      </c>
      <c r="B30" s="140"/>
      <c r="C30" s="140"/>
      <c r="D30" s="140"/>
      <c r="E30" s="140"/>
      <c r="F30" s="140"/>
      <c r="G30" s="140"/>
      <c r="H30" s="140"/>
      <c r="I30" s="140"/>
      <c r="J30" s="140"/>
      <c r="K30" s="140"/>
      <c r="L30" s="140"/>
      <c r="M30" s="140"/>
      <c r="N30" s="140"/>
      <c r="O30" s="140"/>
      <c r="P30" s="140"/>
      <c r="Q30" s="140"/>
      <c r="R30" s="140"/>
      <c r="S30" s="140"/>
      <c r="T30" s="140"/>
      <c r="U30" s="140"/>
      <c r="V30" s="140"/>
      <c r="W30" s="140"/>
      <c r="X30" s="140"/>
      <c r="Y30" s="140"/>
      <c r="Z30" s="140"/>
      <c r="AA30" s="140"/>
      <c r="AB30" s="140"/>
    </row>
    <row r="32" spans="1:28" x14ac:dyDescent="0.25">
      <c r="A32" s="11" t="s">
        <v>10</v>
      </c>
      <c r="B32" s="69" t="s">
        <v>1</v>
      </c>
      <c r="C32" s="70"/>
      <c r="D32" s="71"/>
      <c r="E32" s="90" t="s">
        <v>2</v>
      </c>
      <c r="F32" s="90"/>
      <c r="G32" s="90"/>
      <c r="H32" s="90" t="s">
        <v>103</v>
      </c>
      <c r="I32" s="90"/>
      <c r="J32" s="90"/>
      <c r="K32" s="90" t="s">
        <v>104</v>
      </c>
      <c r="L32" s="90"/>
      <c r="M32" s="90"/>
      <c r="N32" s="90" t="s">
        <v>105</v>
      </c>
      <c r="O32" s="90"/>
      <c r="P32" s="90"/>
      <c r="Q32" s="90" t="s">
        <v>106</v>
      </c>
      <c r="R32" s="90"/>
      <c r="S32" s="90"/>
      <c r="T32" s="90" t="s">
        <v>107</v>
      </c>
      <c r="U32" s="90"/>
      <c r="V32" s="90"/>
      <c r="W32" s="90" t="s">
        <v>3</v>
      </c>
      <c r="X32" s="90"/>
      <c r="Y32" s="90"/>
      <c r="Z32" s="31" t="s">
        <v>13</v>
      </c>
      <c r="AA32" s="127" t="s">
        <v>4</v>
      </c>
      <c r="AB32" s="128"/>
    </row>
    <row r="33" spans="1:28" x14ac:dyDescent="0.25">
      <c r="A33" s="12" t="s">
        <v>24</v>
      </c>
      <c r="B33" s="54">
        <f>SUM(B34:D41)</f>
        <v>862011.09000000008</v>
      </c>
      <c r="C33" s="55"/>
      <c r="D33" s="56"/>
      <c r="E33" s="54">
        <f>SUM(E34:G41)</f>
        <v>14420</v>
      </c>
      <c r="F33" s="55"/>
      <c r="G33" s="56"/>
      <c r="H33" s="54">
        <f t="shared" ref="H33" si="0">SUM(H34:J41)</f>
        <v>15790</v>
      </c>
      <c r="I33" s="55"/>
      <c r="J33" s="56"/>
      <c r="K33" s="54">
        <f t="shared" ref="K33" si="1">SUM(K34:M41)</f>
        <v>16140</v>
      </c>
      <c r="L33" s="55"/>
      <c r="M33" s="56"/>
      <c r="N33" s="54">
        <f t="shared" ref="N33" si="2">SUM(N34:P41)</f>
        <v>12390</v>
      </c>
      <c r="O33" s="55"/>
      <c r="P33" s="56"/>
      <c r="Q33" s="54">
        <f t="shared" ref="Q33" si="3">SUM(Q34:S41)</f>
        <v>12390</v>
      </c>
      <c r="R33" s="55"/>
      <c r="S33" s="56"/>
      <c r="T33" s="54">
        <f t="shared" ref="T33" si="4">SUM(T34:V41)</f>
        <v>22884</v>
      </c>
      <c r="U33" s="55"/>
      <c r="V33" s="56"/>
      <c r="W33" s="54">
        <f>SUM(W34:Y41)</f>
        <v>94014</v>
      </c>
      <c r="X33" s="55"/>
      <c r="Y33" s="56"/>
      <c r="Z33" s="49">
        <v>0.53162074279436378</v>
      </c>
      <c r="AA33" s="123">
        <f>SUM(AA34:AB41)</f>
        <v>956025.09000000008</v>
      </c>
      <c r="AB33" s="124"/>
    </row>
    <row r="34" spans="1:28" x14ac:dyDescent="0.25">
      <c r="A34" s="13" t="s">
        <v>25</v>
      </c>
      <c r="B34" s="51">
        <v>86065.64</v>
      </c>
      <c r="C34" s="52"/>
      <c r="D34" s="53"/>
      <c r="E34" s="91">
        <v>0</v>
      </c>
      <c r="F34" s="92"/>
      <c r="G34" s="93"/>
      <c r="H34" s="91">
        <f>0</f>
        <v>0</v>
      </c>
      <c r="I34" s="92"/>
      <c r="J34" s="93"/>
      <c r="K34" s="91">
        <f>0</f>
        <v>0</v>
      </c>
      <c r="L34" s="92"/>
      <c r="M34" s="93"/>
      <c r="N34" s="91">
        <f>0</f>
        <v>0</v>
      </c>
      <c r="O34" s="92"/>
      <c r="P34" s="93"/>
      <c r="Q34" s="91">
        <f>0</f>
        <v>0</v>
      </c>
      <c r="R34" s="92"/>
      <c r="S34" s="93"/>
      <c r="T34" s="91">
        <f>0</f>
        <v>0</v>
      </c>
      <c r="U34" s="92"/>
      <c r="V34" s="93"/>
      <c r="W34" s="118">
        <f t="shared" ref="W34:W41" si="5">0+E34+H34+K34+N34+Q34+T34</f>
        <v>0</v>
      </c>
      <c r="X34" s="119"/>
      <c r="Y34" s="120"/>
      <c r="Z34" s="43">
        <v>0</v>
      </c>
      <c r="AA34" s="122">
        <f>86065.64+W34</f>
        <v>86065.64</v>
      </c>
      <c r="AB34" s="122"/>
    </row>
    <row r="35" spans="1:28" x14ac:dyDescent="0.25">
      <c r="A35" s="14" t="s">
        <v>26</v>
      </c>
      <c r="B35" s="51">
        <v>252000</v>
      </c>
      <c r="C35" s="52"/>
      <c r="D35" s="53"/>
      <c r="E35" s="91">
        <v>6000</v>
      </c>
      <c r="F35" s="92"/>
      <c r="G35" s="93"/>
      <c r="H35" s="91">
        <f>7500</f>
        <v>7500</v>
      </c>
      <c r="I35" s="92"/>
      <c r="J35" s="93"/>
      <c r="K35" s="91">
        <f>7500</f>
        <v>7500</v>
      </c>
      <c r="L35" s="92"/>
      <c r="M35" s="93"/>
      <c r="N35" s="91">
        <f>7500</f>
        <v>7500</v>
      </c>
      <c r="O35" s="92"/>
      <c r="P35" s="93"/>
      <c r="Q35" s="91">
        <f>7500</f>
        <v>7500</v>
      </c>
      <c r="R35" s="92"/>
      <c r="S35" s="93"/>
      <c r="T35" s="91">
        <f>7500</f>
        <v>7500</v>
      </c>
      <c r="U35" s="92"/>
      <c r="V35" s="93"/>
      <c r="W35" s="118">
        <f t="shared" si="5"/>
        <v>43500</v>
      </c>
      <c r="X35" s="119"/>
      <c r="Y35" s="120"/>
      <c r="Z35" s="43">
        <v>0.22120141863843154</v>
      </c>
      <c r="AA35" s="125">
        <f>252000+W35</f>
        <v>295500</v>
      </c>
      <c r="AB35" s="126"/>
    </row>
    <row r="36" spans="1:28" x14ac:dyDescent="0.25">
      <c r="A36" s="13" t="s">
        <v>27</v>
      </c>
      <c r="B36" s="51">
        <v>85526.52</v>
      </c>
      <c r="C36" s="52"/>
      <c r="D36" s="53"/>
      <c r="E36" s="91">
        <v>1620</v>
      </c>
      <c r="F36" s="92"/>
      <c r="G36" s="93"/>
      <c r="H36" s="91">
        <f>1288</f>
        <v>1288</v>
      </c>
      <c r="I36" s="92"/>
      <c r="J36" s="93"/>
      <c r="K36" s="91">
        <f>1638</f>
        <v>1638</v>
      </c>
      <c r="L36" s="92"/>
      <c r="M36" s="93"/>
      <c r="N36" s="91">
        <f>1188</f>
        <v>1188</v>
      </c>
      <c r="O36" s="92"/>
      <c r="P36" s="93"/>
      <c r="Q36" s="91">
        <f>1188</f>
        <v>1188</v>
      </c>
      <c r="R36" s="92"/>
      <c r="S36" s="93"/>
      <c r="T36" s="91">
        <f>1782</f>
        <v>1782</v>
      </c>
      <c r="U36" s="92"/>
      <c r="V36" s="93"/>
      <c r="W36" s="118">
        <f t="shared" si="5"/>
        <v>8704</v>
      </c>
      <c r="X36" s="119"/>
      <c r="Y36" s="120"/>
      <c r="Z36" s="43">
        <v>5.9724383032376517E-2</v>
      </c>
      <c r="AA36" s="125">
        <f>85526.52+W36</f>
        <v>94230.52</v>
      </c>
      <c r="AB36" s="126"/>
    </row>
    <row r="37" spans="1:28" x14ac:dyDescent="0.25">
      <c r="A37" s="13" t="s">
        <v>28</v>
      </c>
      <c r="B37" s="51">
        <v>215821.12</v>
      </c>
      <c r="C37" s="52"/>
      <c r="D37" s="53"/>
      <c r="E37" s="91">
        <v>0</v>
      </c>
      <c r="F37" s="92"/>
      <c r="G37" s="93"/>
      <c r="H37" s="91">
        <f>0</f>
        <v>0</v>
      </c>
      <c r="I37" s="92"/>
      <c r="J37" s="93"/>
      <c r="K37" s="91">
        <f>0</f>
        <v>0</v>
      </c>
      <c r="L37" s="92"/>
      <c r="M37" s="93"/>
      <c r="N37" s="91">
        <f>0</f>
        <v>0</v>
      </c>
      <c r="O37" s="92"/>
      <c r="P37" s="93"/>
      <c r="Q37" s="91">
        <f>0</f>
        <v>0</v>
      </c>
      <c r="R37" s="92"/>
      <c r="S37" s="93"/>
      <c r="T37" s="91">
        <f>0</f>
        <v>0</v>
      </c>
      <c r="U37" s="92"/>
      <c r="V37" s="93"/>
      <c r="W37" s="118">
        <f t="shared" si="5"/>
        <v>0</v>
      </c>
      <c r="X37" s="119"/>
      <c r="Y37" s="120"/>
      <c r="Z37" s="43">
        <v>0</v>
      </c>
      <c r="AA37" s="125">
        <f>215821.12+W37</f>
        <v>215821.12</v>
      </c>
      <c r="AB37" s="126"/>
    </row>
    <row r="38" spans="1:28" x14ac:dyDescent="0.25">
      <c r="A38" s="15" t="s">
        <v>29</v>
      </c>
      <c r="B38" s="85">
        <v>154310.15</v>
      </c>
      <c r="C38" s="86"/>
      <c r="D38" s="87"/>
      <c r="E38" s="91">
        <v>3500</v>
      </c>
      <c r="F38" s="92"/>
      <c r="G38" s="93"/>
      <c r="H38" s="91">
        <f>3702</f>
        <v>3702</v>
      </c>
      <c r="I38" s="92"/>
      <c r="J38" s="93"/>
      <c r="K38" s="91">
        <f>3702</f>
        <v>3702</v>
      </c>
      <c r="L38" s="92"/>
      <c r="M38" s="93"/>
      <c r="N38" s="91">
        <f>3702</f>
        <v>3702</v>
      </c>
      <c r="O38" s="92"/>
      <c r="P38" s="93"/>
      <c r="Q38" s="91">
        <f>3702</f>
        <v>3702</v>
      </c>
      <c r="R38" s="92"/>
      <c r="S38" s="93"/>
      <c r="T38" s="91">
        <f>3702</f>
        <v>3702</v>
      </c>
      <c r="U38" s="92"/>
      <c r="V38" s="93"/>
      <c r="W38" s="118">
        <f t="shared" si="5"/>
        <v>22010</v>
      </c>
      <c r="X38" s="119"/>
      <c r="Y38" s="120"/>
      <c r="Z38" s="43">
        <v>0.1290341608724184</v>
      </c>
      <c r="AA38" s="131">
        <f>154310.15+W38</f>
        <v>176320.15</v>
      </c>
      <c r="AB38" s="132"/>
    </row>
    <row r="39" spans="1:28" x14ac:dyDescent="0.25">
      <c r="A39" s="15" t="s">
        <v>30</v>
      </c>
      <c r="B39" s="85">
        <v>57993.66</v>
      </c>
      <c r="C39" s="86"/>
      <c r="D39" s="87"/>
      <c r="E39" s="91">
        <v>3300</v>
      </c>
      <c r="F39" s="92"/>
      <c r="G39" s="93"/>
      <c r="H39" s="91">
        <f>3300</f>
        <v>3300</v>
      </c>
      <c r="I39" s="92"/>
      <c r="J39" s="93"/>
      <c r="K39" s="91">
        <f>3300</f>
        <v>3300</v>
      </c>
      <c r="L39" s="92"/>
      <c r="M39" s="93"/>
      <c r="N39" s="91">
        <f>0</f>
        <v>0</v>
      </c>
      <c r="O39" s="92"/>
      <c r="P39" s="93"/>
      <c r="Q39" s="91">
        <f>0</f>
        <v>0</v>
      </c>
      <c r="R39" s="92"/>
      <c r="S39" s="93"/>
      <c r="T39" s="91">
        <f>3300+3300+3300</f>
        <v>9900</v>
      </c>
      <c r="U39" s="92"/>
      <c r="V39" s="93"/>
      <c r="W39" s="118">
        <f t="shared" si="5"/>
        <v>19800</v>
      </c>
      <c r="X39" s="119"/>
      <c r="Y39" s="120"/>
      <c r="Z39" s="43">
        <v>0.12166078025113736</v>
      </c>
      <c r="AA39" s="131">
        <f>57993.66+W39</f>
        <v>77793.66</v>
      </c>
      <c r="AB39" s="132"/>
    </row>
    <row r="40" spans="1:28" x14ac:dyDescent="0.25">
      <c r="A40" s="15" t="s">
        <v>31</v>
      </c>
      <c r="B40" s="85">
        <v>8289</v>
      </c>
      <c r="C40" s="86"/>
      <c r="D40" s="87"/>
      <c r="E40" s="91">
        <v>0</v>
      </c>
      <c r="F40" s="92"/>
      <c r="G40" s="93"/>
      <c r="H40" s="91">
        <f>0</f>
        <v>0</v>
      </c>
      <c r="I40" s="92"/>
      <c r="J40" s="93"/>
      <c r="K40" s="91">
        <f>0</f>
        <v>0</v>
      </c>
      <c r="L40" s="92"/>
      <c r="M40" s="93"/>
      <c r="N40" s="91">
        <f>0</f>
        <v>0</v>
      </c>
      <c r="O40" s="92"/>
      <c r="P40" s="93"/>
      <c r="Q40" s="91">
        <f>0</f>
        <v>0</v>
      </c>
      <c r="R40" s="92"/>
      <c r="S40" s="93"/>
      <c r="T40" s="91">
        <f>0</f>
        <v>0</v>
      </c>
      <c r="U40" s="92"/>
      <c r="V40" s="93"/>
      <c r="W40" s="118">
        <f t="shared" si="5"/>
        <v>0</v>
      </c>
      <c r="X40" s="119"/>
      <c r="Y40" s="120"/>
      <c r="Z40" s="43">
        <v>0</v>
      </c>
      <c r="AA40" s="131">
        <f>8289+W40</f>
        <v>8289</v>
      </c>
      <c r="AB40" s="132"/>
    </row>
    <row r="41" spans="1:28" x14ac:dyDescent="0.25">
      <c r="A41" s="13" t="s">
        <v>32</v>
      </c>
      <c r="B41" s="51">
        <v>2005</v>
      </c>
      <c r="C41" s="52"/>
      <c r="D41" s="53"/>
      <c r="E41" s="91">
        <v>0</v>
      </c>
      <c r="F41" s="92"/>
      <c r="G41" s="93"/>
      <c r="H41" s="91">
        <f>0</f>
        <v>0</v>
      </c>
      <c r="I41" s="92"/>
      <c r="J41" s="93"/>
      <c r="K41" s="91">
        <f>0</f>
        <v>0</v>
      </c>
      <c r="L41" s="92"/>
      <c r="M41" s="93"/>
      <c r="N41" s="91">
        <f>0</f>
        <v>0</v>
      </c>
      <c r="O41" s="92"/>
      <c r="P41" s="93"/>
      <c r="Q41" s="91">
        <f>0</f>
        <v>0</v>
      </c>
      <c r="R41" s="92"/>
      <c r="S41" s="93"/>
      <c r="T41" s="91">
        <f>0</f>
        <v>0</v>
      </c>
      <c r="U41" s="92"/>
      <c r="V41" s="93"/>
      <c r="W41" s="118">
        <f t="shared" si="5"/>
        <v>0</v>
      </c>
      <c r="X41" s="119"/>
      <c r="Y41" s="120"/>
      <c r="Z41" s="43">
        <v>0</v>
      </c>
      <c r="AA41" s="125">
        <f>2005+W41</f>
        <v>2005</v>
      </c>
      <c r="AB41" s="126"/>
    </row>
    <row r="42" spans="1:28" x14ac:dyDescent="0.25">
      <c r="A42" s="12" t="s">
        <v>33</v>
      </c>
      <c r="B42" s="54">
        <f>SUM(B43:D45)</f>
        <v>749546.74</v>
      </c>
      <c r="C42" s="55"/>
      <c r="D42" s="56"/>
      <c r="E42" s="54">
        <f t="shared" ref="E42" si="6">SUM(E43:G45)</f>
        <v>0</v>
      </c>
      <c r="F42" s="55"/>
      <c r="G42" s="56"/>
      <c r="H42" s="54">
        <f t="shared" ref="H42" si="7">SUM(H43:J45)</f>
        <v>0</v>
      </c>
      <c r="I42" s="55"/>
      <c r="J42" s="56"/>
      <c r="K42" s="54">
        <f t="shared" ref="K42" si="8">SUM(K43:M45)</f>
        <v>0</v>
      </c>
      <c r="L42" s="55"/>
      <c r="M42" s="56"/>
      <c r="N42" s="54">
        <f t="shared" ref="N42" si="9">SUM(N43:P45)</f>
        <v>0</v>
      </c>
      <c r="O42" s="55"/>
      <c r="P42" s="56"/>
      <c r="Q42" s="54">
        <f t="shared" ref="Q42" si="10">SUM(Q43:S45)</f>
        <v>0</v>
      </c>
      <c r="R42" s="55"/>
      <c r="S42" s="56"/>
      <c r="T42" s="54">
        <f t="shared" ref="T42" si="11">SUM(T43:V45)</f>
        <v>0</v>
      </c>
      <c r="U42" s="55"/>
      <c r="V42" s="56"/>
      <c r="W42" s="54">
        <f>SUM(W43:Y45)</f>
        <v>0</v>
      </c>
      <c r="X42" s="55"/>
      <c r="Y42" s="56"/>
      <c r="Z42" s="48">
        <v>0</v>
      </c>
      <c r="AA42" s="123">
        <f>SUM(AA43:AB45)</f>
        <v>749546.74</v>
      </c>
      <c r="AB42" s="124"/>
    </row>
    <row r="43" spans="1:28" x14ac:dyDescent="0.25">
      <c r="A43" s="13" t="s">
        <v>34</v>
      </c>
      <c r="B43" s="51">
        <v>583007.5</v>
      </c>
      <c r="C43" s="52"/>
      <c r="D43" s="53"/>
      <c r="E43" s="91">
        <v>0</v>
      </c>
      <c r="F43" s="92"/>
      <c r="G43" s="93"/>
      <c r="H43" s="91">
        <f>0</f>
        <v>0</v>
      </c>
      <c r="I43" s="92"/>
      <c r="J43" s="93"/>
      <c r="K43" s="91">
        <f>0</f>
        <v>0</v>
      </c>
      <c r="L43" s="92"/>
      <c r="M43" s="93"/>
      <c r="N43" s="91">
        <f>0</f>
        <v>0</v>
      </c>
      <c r="O43" s="92"/>
      <c r="P43" s="93"/>
      <c r="Q43" s="91">
        <f>0</f>
        <v>0</v>
      </c>
      <c r="R43" s="92"/>
      <c r="S43" s="93"/>
      <c r="T43" s="91">
        <f>0</f>
        <v>0</v>
      </c>
      <c r="U43" s="92"/>
      <c r="V43" s="93"/>
      <c r="W43" s="118">
        <f>0+E43+H43+K43+N43+Q43+T43</f>
        <v>0</v>
      </c>
      <c r="X43" s="119"/>
      <c r="Y43" s="120"/>
      <c r="Z43" s="43">
        <v>0</v>
      </c>
      <c r="AA43" s="122">
        <f>583007.5+W43</f>
        <v>583007.5</v>
      </c>
      <c r="AB43" s="122"/>
    </row>
    <row r="44" spans="1:28" x14ac:dyDescent="0.25">
      <c r="A44" s="13" t="s">
        <v>35</v>
      </c>
      <c r="B44" s="51">
        <v>151996.63</v>
      </c>
      <c r="C44" s="52"/>
      <c r="D44" s="53"/>
      <c r="E44" s="91">
        <v>0</v>
      </c>
      <c r="F44" s="92"/>
      <c r="G44" s="93"/>
      <c r="H44" s="91">
        <f>0</f>
        <v>0</v>
      </c>
      <c r="I44" s="92"/>
      <c r="J44" s="93"/>
      <c r="K44" s="91">
        <f>0</f>
        <v>0</v>
      </c>
      <c r="L44" s="92"/>
      <c r="M44" s="93"/>
      <c r="N44" s="91">
        <f>0</f>
        <v>0</v>
      </c>
      <c r="O44" s="92"/>
      <c r="P44" s="93"/>
      <c r="Q44" s="91">
        <f>0</f>
        <v>0</v>
      </c>
      <c r="R44" s="92"/>
      <c r="S44" s="93"/>
      <c r="T44" s="91">
        <f>0</f>
        <v>0</v>
      </c>
      <c r="U44" s="92"/>
      <c r="V44" s="93"/>
      <c r="W44" s="118">
        <f>0+E44+H44+K44+N44+Q44+T44</f>
        <v>0</v>
      </c>
      <c r="X44" s="119"/>
      <c r="Y44" s="120"/>
      <c r="Z44" s="43">
        <v>0</v>
      </c>
      <c r="AA44" s="125">
        <f>151996.63+W44</f>
        <v>151996.63</v>
      </c>
      <c r="AB44" s="126"/>
    </row>
    <row r="45" spans="1:28" x14ac:dyDescent="0.25">
      <c r="A45" s="13" t="s">
        <v>36</v>
      </c>
      <c r="B45" s="51">
        <v>14542.61</v>
      </c>
      <c r="C45" s="52"/>
      <c r="D45" s="53"/>
      <c r="E45" s="91">
        <v>0</v>
      </c>
      <c r="F45" s="92"/>
      <c r="G45" s="93"/>
      <c r="H45" s="91">
        <f>0</f>
        <v>0</v>
      </c>
      <c r="I45" s="92"/>
      <c r="J45" s="93"/>
      <c r="K45" s="91">
        <f>0</f>
        <v>0</v>
      </c>
      <c r="L45" s="92"/>
      <c r="M45" s="93"/>
      <c r="N45" s="91">
        <f>0</f>
        <v>0</v>
      </c>
      <c r="O45" s="92"/>
      <c r="P45" s="93"/>
      <c r="Q45" s="91">
        <f>0</f>
        <v>0</v>
      </c>
      <c r="R45" s="92"/>
      <c r="S45" s="93"/>
      <c r="T45" s="91">
        <f>0</f>
        <v>0</v>
      </c>
      <c r="U45" s="92"/>
      <c r="V45" s="93"/>
      <c r="W45" s="118">
        <f>0+E45+H45+K45+N45+Q45+T45</f>
        <v>0</v>
      </c>
      <c r="X45" s="119"/>
      <c r="Y45" s="120"/>
      <c r="Z45" s="43">
        <v>0</v>
      </c>
      <c r="AA45" s="125">
        <f>14542.61+W45</f>
        <v>14542.61</v>
      </c>
      <c r="AB45" s="126"/>
    </row>
    <row r="46" spans="1:28" x14ac:dyDescent="0.25">
      <c r="A46" s="12" t="s">
        <v>37</v>
      </c>
      <c r="B46" s="54">
        <f>SUM(B47:D49)</f>
        <v>99159.95</v>
      </c>
      <c r="C46" s="55"/>
      <c r="D46" s="56"/>
      <c r="E46" s="54">
        <f t="shared" ref="E46" si="12">SUM(E47:G49)</f>
        <v>0</v>
      </c>
      <c r="F46" s="55"/>
      <c r="G46" s="56"/>
      <c r="H46" s="54">
        <f t="shared" ref="H46" si="13">SUM(H47:J49)</f>
        <v>0</v>
      </c>
      <c r="I46" s="55"/>
      <c r="J46" s="56"/>
      <c r="K46" s="54">
        <f t="shared" ref="K46" si="14">SUM(K47:M49)</f>
        <v>0</v>
      </c>
      <c r="L46" s="55"/>
      <c r="M46" s="56"/>
      <c r="N46" s="54">
        <f t="shared" ref="N46" si="15">SUM(N47:P49)</f>
        <v>0</v>
      </c>
      <c r="O46" s="55"/>
      <c r="P46" s="56"/>
      <c r="Q46" s="54">
        <f t="shared" ref="Q46" si="16">SUM(Q47:S49)</f>
        <v>0</v>
      </c>
      <c r="R46" s="55"/>
      <c r="S46" s="56"/>
      <c r="T46" s="54">
        <f t="shared" ref="T46" si="17">SUM(T47:V49)</f>
        <v>0</v>
      </c>
      <c r="U46" s="55"/>
      <c r="V46" s="56"/>
      <c r="W46" s="54">
        <f t="shared" ref="W46" si="18">SUM(W47:Y49)</f>
        <v>0</v>
      </c>
      <c r="X46" s="55"/>
      <c r="Y46" s="56"/>
      <c r="Z46" s="48">
        <v>0</v>
      </c>
      <c r="AA46" s="123">
        <f>SUM(AA47:AB49)</f>
        <v>99159.95</v>
      </c>
      <c r="AB46" s="124"/>
    </row>
    <row r="47" spans="1:28" x14ac:dyDescent="0.25">
      <c r="A47" s="13" t="s">
        <v>38</v>
      </c>
      <c r="B47" s="85">
        <v>5877.46</v>
      </c>
      <c r="C47" s="86"/>
      <c r="D47" s="87"/>
      <c r="E47" s="91">
        <v>0</v>
      </c>
      <c r="F47" s="92"/>
      <c r="G47" s="93"/>
      <c r="H47" s="91">
        <f>0</f>
        <v>0</v>
      </c>
      <c r="I47" s="92"/>
      <c r="J47" s="93"/>
      <c r="K47" s="91">
        <f>0</f>
        <v>0</v>
      </c>
      <c r="L47" s="92"/>
      <c r="M47" s="93"/>
      <c r="N47" s="91">
        <f>0</f>
        <v>0</v>
      </c>
      <c r="O47" s="92"/>
      <c r="P47" s="93"/>
      <c r="Q47" s="91">
        <f>0</f>
        <v>0</v>
      </c>
      <c r="R47" s="92"/>
      <c r="S47" s="93"/>
      <c r="T47" s="91">
        <f>0</f>
        <v>0</v>
      </c>
      <c r="U47" s="92"/>
      <c r="V47" s="93"/>
      <c r="W47" s="118">
        <f>0+E47+H47+K47+N47+Q47+T47</f>
        <v>0</v>
      </c>
      <c r="X47" s="119"/>
      <c r="Y47" s="120"/>
      <c r="Z47" s="43">
        <v>0</v>
      </c>
      <c r="AA47" s="130">
        <f>5877.46+W47</f>
        <v>5877.46</v>
      </c>
      <c r="AB47" s="130"/>
    </row>
    <row r="48" spans="1:28" x14ac:dyDescent="0.25">
      <c r="A48" s="13" t="s">
        <v>39</v>
      </c>
      <c r="B48" s="51">
        <v>13191.49</v>
      </c>
      <c r="C48" s="52"/>
      <c r="D48" s="53"/>
      <c r="E48" s="91">
        <v>0</v>
      </c>
      <c r="F48" s="92"/>
      <c r="G48" s="93"/>
      <c r="H48" s="91">
        <f>0</f>
        <v>0</v>
      </c>
      <c r="I48" s="92"/>
      <c r="J48" s="93"/>
      <c r="K48" s="91">
        <f>0</f>
        <v>0</v>
      </c>
      <c r="L48" s="92"/>
      <c r="M48" s="93"/>
      <c r="N48" s="91">
        <f>0</f>
        <v>0</v>
      </c>
      <c r="O48" s="92"/>
      <c r="P48" s="93"/>
      <c r="Q48" s="91">
        <f>0</f>
        <v>0</v>
      </c>
      <c r="R48" s="92"/>
      <c r="S48" s="93"/>
      <c r="T48" s="91">
        <f>0</f>
        <v>0</v>
      </c>
      <c r="U48" s="92"/>
      <c r="V48" s="93"/>
      <c r="W48" s="118">
        <f>0+E48+H48+K48+N48+Q48+T48</f>
        <v>0</v>
      </c>
      <c r="X48" s="119"/>
      <c r="Y48" s="120"/>
      <c r="Z48" s="43">
        <v>0</v>
      </c>
      <c r="AA48" s="125">
        <f>13191.49+W48</f>
        <v>13191.49</v>
      </c>
      <c r="AB48" s="126"/>
    </row>
    <row r="49" spans="1:28" x14ac:dyDescent="0.25">
      <c r="A49" s="13" t="s">
        <v>40</v>
      </c>
      <c r="B49" s="51">
        <v>80091</v>
      </c>
      <c r="C49" s="52"/>
      <c r="D49" s="53"/>
      <c r="E49" s="91">
        <v>0</v>
      </c>
      <c r="F49" s="92"/>
      <c r="G49" s="93"/>
      <c r="H49" s="91">
        <f>0</f>
        <v>0</v>
      </c>
      <c r="I49" s="92"/>
      <c r="J49" s="93"/>
      <c r="K49" s="91">
        <f>0</f>
        <v>0</v>
      </c>
      <c r="L49" s="92"/>
      <c r="M49" s="93"/>
      <c r="N49" s="91">
        <f>0</f>
        <v>0</v>
      </c>
      <c r="O49" s="92"/>
      <c r="P49" s="93"/>
      <c r="Q49" s="91">
        <f>0</f>
        <v>0</v>
      </c>
      <c r="R49" s="92"/>
      <c r="S49" s="93"/>
      <c r="T49" s="91">
        <f>0</f>
        <v>0</v>
      </c>
      <c r="U49" s="92"/>
      <c r="V49" s="93"/>
      <c r="W49" s="118">
        <f>0+E49+H49+K49+N49+Q49</f>
        <v>0</v>
      </c>
      <c r="X49" s="119"/>
      <c r="Y49" s="120"/>
      <c r="Z49" s="43">
        <v>0</v>
      </c>
      <c r="AA49" s="125">
        <f>80091+W49</f>
        <v>80091</v>
      </c>
      <c r="AB49" s="126"/>
    </row>
    <row r="50" spans="1:28" x14ac:dyDescent="0.25">
      <c r="A50" s="12" t="s">
        <v>41</v>
      </c>
      <c r="B50" s="54">
        <f>SUM(B51:D63)</f>
        <v>433143.51</v>
      </c>
      <c r="C50" s="55"/>
      <c r="D50" s="56"/>
      <c r="E50" s="54">
        <f t="shared" ref="E50" si="19">SUM(E51:G63)</f>
        <v>4991.13</v>
      </c>
      <c r="F50" s="55"/>
      <c r="G50" s="56"/>
      <c r="H50" s="54">
        <f t="shared" ref="H50" si="20">SUM(H51:J63)</f>
        <v>4986.8900000000003</v>
      </c>
      <c r="I50" s="55"/>
      <c r="J50" s="56"/>
      <c r="K50" s="54">
        <f t="shared" ref="K50" si="21">SUM(K51:M63)</f>
        <v>4983.1799999999994</v>
      </c>
      <c r="L50" s="55"/>
      <c r="M50" s="56"/>
      <c r="N50" s="54">
        <f t="shared" ref="N50" si="22">SUM(N51:P63)</f>
        <v>4980</v>
      </c>
      <c r="O50" s="55"/>
      <c r="P50" s="56"/>
      <c r="Q50" s="54">
        <f t="shared" ref="Q50" si="23">SUM(Q51:S63)</f>
        <v>5324.67</v>
      </c>
      <c r="R50" s="55"/>
      <c r="S50" s="56"/>
      <c r="T50" s="54">
        <f t="shared" ref="T50" si="24">SUM(T51:V63)</f>
        <v>5149.16</v>
      </c>
      <c r="U50" s="55"/>
      <c r="V50" s="56"/>
      <c r="W50" s="54">
        <f>SUM(W51:Y63)</f>
        <v>30415.03</v>
      </c>
      <c r="X50" s="55"/>
      <c r="Y50" s="56"/>
      <c r="Z50" s="48">
        <v>0.18400750610147248</v>
      </c>
      <c r="AA50" s="123">
        <f>SUM(AA51:AB63)</f>
        <v>463558.54</v>
      </c>
      <c r="AB50" s="124"/>
    </row>
    <row r="51" spans="1:28" x14ac:dyDescent="0.25">
      <c r="A51" s="16" t="s">
        <v>42</v>
      </c>
      <c r="B51" s="51">
        <v>30386.28</v>
      </c>
      <c r="C51" s="52"/>
      <c r="D51" s="53"/>
      <c r="E51" s="91">
        <v>0</v>
      </c>
      <c r="F51" s="92"/>
      <c r="G51" s="93"/>
      <c r="H51" s="91">
        <f>0</f>
        <v>0</v>
      </c>
      <c r="I51" s="92"/>
      <c r="J51" s="93"/>
      <c r="K51" s="91">
        <f>0</f>
        <v>0</v>
      </c>
      <c r="L51" s="92"/>
      <c r="M51" s="93"/>
      <c r="N51" s="91">
        <f>0</f>
        <v>0</v>
      </c>
      <c r="O51" s="92"/>
      <c r="P51" s="93"/>
      <c r="Q51" s="91">
        <f>355.8</f>
        <v>355.8</v>
      </c>
      <c r="R51" s="92"/>
      <c r="S51" s="93"/>
      <c r="T51" s="91">
        <f>0</f>
        <v>0</v>
      </c>
      <c r="U51" s="92"/>
      <c r="V51" s="93"/>
      <c r="W51" s="118">
        <f t="shared" ref="W51:W63" si="25">0+E51+H51+K51+N51+Q51+T51</f>
        <v>355.8</v>
      </c>
      <c r="X51" s="119"/>
      <c r="Y51" s="120"/>
      <c r="Z51" s="43">
        <v>0</v>
      </c>
      <c r="AA51" s="122">
        <f>30386.28+W51</f>
        <v>30742.079999999998</v>
      </c>
      <c r="AB51" s="122"/>
    </row>
    <row r="52" spans="1:28" x14ac:dyDescent="0.25">
      <c r="A52" s="13" t="s">
        <v>43</v>
      </c>
      <c r="B52" s="51">
        <v>16240</v>
      </c>
      <c r="C52" s="52"/>
      <c r="D52" s="53"/>
      <c r="E52" s="91">
        <v>0</v>
      </c>
      <c r="F52" s="92"/>
      <c r="G52" s="93"/>
      <c r="H52" s="91">
        <f>0</f>
        <v>0</v>
      </c>
      <c r="I52" s="92"/>
      <c r="J52" s="93"/>
      <c r="K52" s="91">
        <f>0</f>
        <v>0</v>
      </c>
      <c r="L52" s="92"/>
      <c r="M52" s="93"/>
      <c r="N52" s="91">
        <f>0</f>
        <v>0</v>
      </c>
      <c r="O52" s="92"/>
      <c r="P52" s="93"/>
      <c r="Q52" s="91">
        <f>0</f>
        <v>0</v>
      </c>
      <c r="R52" s="92"/>
      <c r="S52" s="93"/>
      <c r="T52" s="91">
        <f>0</f>
        <v>0</v>
      </c>
      <c r="U52" s="92"/>
      <c r="V52" s="93"/>
      <c r="W52" s="118">
        <f t="shared" si="25"/>
        <v>0</v>
      </c>
      <c r="X52" s="119"/>
      <c r="Y52" s="120"/>
      <c r="Z52" s="43">
        <v>0</v>
      </c>
      <c r="AA52" s="125">
        <f>16240+W52</f>
        <v>16240</v>
      </c>
      <c r="AB52" s="126"/>
    </row>
    <row r="53" spans="1:28" x14ac:dyDescent="0.25">
      <c r="A53" s="13" t="s">
        <v>44</v>
      </c>
      <c r="B53" s="51">
        <v>33270</v>
      </c>
      <c r="C53" s="52"/>
      <c r="D53" s="53"/>
      <c r="E53" s="91">
        <v>540</v>
      </c>
      <c r="F53" s="92"/>
      <c r="G53" s="93"/>
      <c r="H53" s="91">
        <f>540</f>
        <v>540</v>
      </c>
      <c r="I53" s="92"/>
      <c r="J53" s="93"/>
      <c r="K53" s="91">
        <f>540</f>
        <v>540</v>
      </c>
      <c r="L53" s="92"/>
      <c r="M53" s="93"/>
      <c r="N53" s="91">
        <f>540</f>
        <v>540</v>
      </c>
      <c r="O53" s="92"/>
      <c r="P53" s="93"/>
      <c r="Q53" s="91">
        <f>540</f>
        <v>540</v>
      </c>
      <c r="R53" s="92"/>
      <c r="S53" s="93"/>
      <c r="T53" s="91">
        <f>540</f>
        <v>540</v>
      </c>
      <c r="U53" s="92"/>
      <c r="V53" s="93"/>
      <c r="W53" s="118">
        <f t="shared" si="25"/>
        <v>3240</v>
      </c>
      <c r="X53" s="119"/>
      <c r="Y53" s="120"/>
      <c r="Z53" s="43">
        <v>1.990812767745884E-2</v>
      </c>
      <c r="AA53" s="125">
        <f>33270+W53</f>
        <v>36510</v>
      </c>
      <c r="AB53" s="126"/>
    </row>
    <row r="54" spans="1:28" x14ac:dyDescent="0.25">
      <c r="A54" s="13" t="s">
        <v>45</v>
      </c>
      <c r="B54" s="51">
        <v>53076.7</v>
      </c>
      <c r="C54" s="52"/>
      <c r="D54" s="53"/>
      <c r="E54" s="91">
        <v>0</v>
      </c>
      <c r="F54" s="92"/>
      <c r="G54" s="93"/>
      <c r="H54" s="91">
        <f>0</f>
        <v>0</v>
      </c>
      <c r="I54" s="92"/>
      <c r="J54" s="93"/>
      <c r="K54" s="91">
        <f>0</f>
        <v>0</v>
      </c>
      <c r="L54" s="92"/>
      <c r="M54" s="93"/>
      <c r="N54" s="91">
        <f>0</f>
        <v>0</v>
      </c>
      <c r="O54" s="92"/>
      <c r="P54" s="93"/>
      <c r="Q54" s="91">
        <f>0</f>
        <v>0</v>
      </c>
      <c r="R54" s="92"/>
      <c r="S54" s="93"/>
      <c r="T54" s="91">
        <f>0</f>
        <v>0</v>
      </c>
      <c r="U54" s="92"/>
      <c r="V54" s="93"/>
      <c r="W54" s="118">
        <f t="shared" si="25"/>
        <v>0</v>
      </c>
      <c r="X54" s="119"/>
      <c r="Y54" s="120"/>
      <c r="Z54" s="43">
        <v>0</v>
      </c>
      <c r="AA54" s="125">
        <f>53076.7+W54</f>
        <v>53076.7</v>
      </c>
      <c r="AB54" s="126"/>
    </row>
    <row r="55" spans="1:28" x14ac:dyDescent="0.25">
      <c r="A55" s="13" t="s">
        <v>46</v>
      </c>
      <c r="B55" s="51">
        <v>221082.92</v>
      </c>
      <c r="C55" s="52"/>
      <c r="D55" s="53"/>
      <c r="E55" s="91">
        <v>3991.43</v>
      </c>
      <c r="F55" s="92"/>
      <c r="G55" s="93"/>
      <c r="H55" s="91">
        <f>3987.19</f>
        <v>3987.19</v>
      </c>
      <c r="I55" s="92"/>
      <c r="J55" s="93"/>
      <c r="K55" s="91">
        <f>3983.48</f>
        <v>3983.48</v>
      </c>
      <c r="L55" s="92"/>
      <c r="M55" s="93"/>
      <c r="N55" s="91">
        <f>3980.3</f>
        <v>3980.3</v>
      </c>
      <c r="O55" s="92"/>
      <c r="P55" s="93"/>
      <c r="Q55" s="91">
        <f>3969.17</f>
        <v>3969.17</v>
      </c>
      <c r="R55" s="92"/>
      <c r="S55" s="93"/>
      <c r="T55" s="91">
        <f>3965.46</f>
        <v>3965.46</v>
      </c>
      <c r="U55" s="92"/>
      <c r="V55" s="93"/>
      <c r="W55" s="118">
        <f t="shared" si="25"/>
        <v>23877.03</v>
      </c>
      <c r="X55" s="119"/>
      <c r="Y55" s="120"/>
      <c r="Z55" s="43">
        <v>0.14715166306599914</v>
      </c>
      <c r="AA55" s="125">
        <f>221082.92+W55</f>
        <v>244959.95</v>
      </c>
      <c r="AB55" s="126"/>
    </row>
    <row r="56" spans="1:28" x14ac:dyDescent="0.25">
      <c r="A56" s="13" t="s">
        <v>47</v>
      </c>
      <c r="B56" s="51">
        <v>20234.7</v>
      </c>
      <c r="C56" s="52"/>
      <c r="D56" s="53"/>
      <c r="E56" s="91">
        <v>355.54</v>
      </c>
      <c r="F56" s="92"/>
      <c r="G56" s="93"/>
      <c r="H56" s="91">
        <f>355.54</f>
        <v>355.54</v>
      </c>
      <c r="I56" s="92"/>
      <c r="J56" s="93"/>
      <c r="K56" s="91">
        <f>355.54</f>
        <v>355.54</v>
      </c>
      <c r="L56" s="92"/>
      <c r="M56" s="93"/>
      <c r="N56" s="91">
        <f>355.54</f>
        <v>355.54</v>
      </c>
      <c r="O56" s="92"/>
      <c r="P56" s="93"/>
      <c r="Q56" s="91">
        <f>355.54</f>
        <v>355.54</v>
      </c>
      <c r="R56" s="92"/>
      <c r="S56" s="93"/>
      <c r="T56" s="91">
        <f>355.54</f>
        <v>355.54</v>
      </c>
      <c r="U56" s="92"/>
      <c r="V56" s="93"/>
      <c r="W56" s="118">
        <f t="shared" si="25"/>
        <v>2133.2400000000002</v>
      </c>
      <c r="X56" s="119"/>
      <c r="Y56" s="120"/>
      <c r="Z56" s="43">
        <v>1.3107658730451326E-2</v>
      </c>
      <c r="AA56" s="125">
        <f>20234.7+W56</f>
        <v>22367.940000000002</v>
      </c>
      <c r="AB56" s="126"/>
    </row>
    <row r="57" spans="1:28" x14ac:dyDescent="0.25">
      <c r="A57" s="13" t="s">
        <v>48</v>
      </c>
      <c r="B57" s="51">
        <v>8277.1200000000008</v>
      </c>
      <c r="C57" s="52"/>
      <c r="D57" s="53"/>
      <c r="E57" s="91">
        <v>65.16</v>
      </c>
      <c r="F57" s="92"/>
      <c r="G57" s="93"/>
      <c r="H57" s="91">
        <f>21.12+44.04</f>
        <v>65.16</v>
      </c>
      <c r="I57" s="92"/>
      <c r="J57" s="93"/>
      <c r="K57" s="91">
        <f>21.12+44.04</f>
        <v>65.16</v>
      </c>
      <c r="L57" s="92"/>
      <c r="M57" s="93"/>
      <c r="N57" s="91">
        <f>21.12+44.04</f>
        <v>65.16</v>
      </c>
      <c r="O57" s="92"/>
      <c r="P57" s="93"/>
      <c r="Q57" s="91">
        <f>21.12+44.04</f>
        <v>65.16</v>
      </c>
      <c r="R57" s="92"/>
      <c r="S57" s="93"/>
      <c r="T57" s="91">
        <f>21.12+44.04</f>
        <v>65.16</v>
      </c>
      <c r="U57" s="92"/>
      <c r="V57" s="93"/>
      <c r="W57" s="118">
        <f t="shared" si="25"/>
        <v>390.95999999999992</v>
      </c>
      <c r="X57" s="119"/>
      <c r="Y57" s="120"/>
      <c r="Z57" s="43">
        <v>2.4022474064133667E-3</v>
      </c>
      <c r="AA57" s="125">
        <f>8277.12+W57</f>
        <v>8668.08</v>
      </c>
      <c r="AB57" s="126"/>
    </row>
    <row r="58" spans="1:28" x14ac:dyDescent="0.25">
      <c r="A58" s="13" t="s">
        <v>49</v>
      </c>
      <c r="B58" s="51">
        <v>1172.5</v>
      </c>
      <c r="C58" s="52"/>
      <c r="D58" s="53"/>
      <c r="E58" s="91">
        <v>39</v>
      </c>
      <c r="F58" s="92"/>
      <c r="G58" s="93"/>
      <c r="H58" s="91">
        <f>39</f>
        <v>39</v>
      </c>
      <c r="I58" s="92"/>
      <c r="J58" s="93"/>
      <c r="K58" s="91">
        <f>39</f>
        <v>39</v>
      </c>
      <c r="L58" s="92"/>
      <c r="M58" s="93"/>
      <c r="N58" s="91">
        <f>39</f>
        <v>39</v>
      </c>
      <c r="O58" s="92"/>
      <c r="P58" s="93"/>
      <c r="Q58" s="91">
        <f>39</f>
        <v>39</v>
      </c>
      <c r="R58" s="92"/>
      <c r="S58" s="93"/>
      <c r="T58" s="91">
        <f>39</f>
        <v>39</v>
      </c>
      <c r="U58" s="92"/>
      <c r="V58" s="93"/>
      <c r="W58" s="118">
        <f t="shared" si="25"/>
        <v>234</v>
      </c>
      <c r="X58" s="119"/>
      <c r="Y58" s="120"/>
      <c r="Z58" s="43">
        <v>1.437809221149805E-3</v>
      </c>
      <c r="AA58" s="125">
        <f>1172.5+W58</f>
        <v>1406.5</v>
      </c>
      <c r="AB58" s="126"/>
    </row>
    <row r="59" spans="1:28" x14ac:dyDescent="0.25">
      <c r="A59" s="13" t="s">
        <v>50</v>
      </c>
      <c r="B59" s="51">
        <v>27432.46</v>
      </c>
      <c r="C59" s="52"/>
      <c r="D59" s="53"/>
      <c r="E59" s="91">
        <v>0</v>
      </c>
      <c r="F59" s="92"/>
      <c r="G59" s="93"/>
      <c r="H59" s="91">
        <f>0</f>
        <v>0</v>
      </c>
      <c r="I59" s="92"/>
      <c r="J59" s="93"/>
      <c r="K59" s="91">
        <f>0</f>
        <v>0</v>
      </c>
      <c r="L59" s="92"/>
      <c r="M59" s="93"/>
      <c r="N59" s="91">
        <f>0</f>
        <v>0</v>
      </c>
      <c r="O59" s="92"/>
      <c r="P59" s="93"/>
      <c r="Q59" s="91">
        <f>0</f>
        <v>0</v>
      </c>
      <c r="R59" s="92"/>
      <c r="S59" s="93"/>
      <c r="T59" s="91">
        <f>0</f>
        <v>0</v>
      </c>
      <c r="U59" s="92"/>
      <c r="V59" s="93"/>
      <c r="W59" s="118">
        <f t="shared" si="25"/>
        <v>0</v>
      </c>
      <c r="X59" s="119"/>
      <c r="Y59" s="120"/>
      <c r="Z59" s="43">
        <v>0</v>
      </c>
      <c r="AA59" s="125">
        <f>27432.46+W59</f>
        <v>27432.46</v>
      </c>
      <c r="AB59" s="126"/>
    </row>
    <row r="60" spans="1:28" x14ac:dyDescent="0.25">
      <c r="A60" s="13" t="s">
        <v>51</v>
      </c>
      <c r="B60" s="51">
        <v>13184.12</v>
      </c>
      <c r="C60" s="52"/>
      <c r="D60" s="53"/>
      <c r="E60" s="91">
        <v>0</v>
      </c>
      <c r="F60" s="92"/>
      <c r="G60" s="93"/>
      <c r="H60" s="91">
        <f>0</f>
        <v>0</v>
      </c>
      <c r="I60" s="92"/>
      <c r="J60" s="93"/>
      <c r="K60" s="91">
        <f>0</f>
        <v>0</v>
      </c>
      <c r="L60" s="92"/>
      <c r="M60" s="93"/>
      <c r="N60" s="91">
        <f>0</f>
        <v>0</v>
      </c>
      <c r="O60" s="92"/>
      <c r="P60" s="93"/>
      <c r="Q60" s="91">
        <f>0</f>
        <v>0</v>
      </c>
      <c r="R60" s="92"/>
      <c r="S60" s="93"/>
      <c r="T60" s="91">
        <f>0</f>
        <v>0</v>
      </c>
      <c r="U60" s="92"/>
      <c r="V60" s="93"/>
      <c r="W60" s="118">
        <f t="shared" si="25"/>
        <v>0</v>
      </c>
      <c r="X60" s="119"/>
      <c r="Y60" s="120"/>
      <c r="Z60" s="43">
        <v>0</v>
      </c>
      <c r="AA60" s="125">
        <f>13184.12+W60</f>
        <v>13184.12</v>
      </c>
      <c r="AB60" s="126"/>
    </row>
    <row r="61" spans="1:28" x14ac:dyDescent="0.25">
      <c r="A61" s="13" t="s">
        <v>52</v>
      </c>
      <c r="B61" s="51">
        <v>5618.11</v>
      </c>
      <c r="C61" s="52"/>
      <c r="D61" s="53"/>
      <c r="E61" s="91">
        <v>0</v>
      </c>
      <c r="F61" s="92"/>
      <c r="G61" s="93"/>
      <c r="H61" s="91">
        <f>0</f>
        <v>0</v>
      </c>
      <c r="I61" s="92"/>
      <c r="J61" s="93"/>
      <c r="K61" s="91">
        <f>0</f>
        <v>0</v>
      </c>
      <c r="L61" s="92"/>
      <c r="M61" s="93"/>
      <c r="N61" s="91">
        <f>0</f>
        <v>0</v>
      </c>
      <c r="O61" s="92"/>
      <c r="P61" s="93"/>
      <c r="Q61" s="91">
        <f>0</f>
        <v>0</v>
      </c>
      <c r="R61" s="92"/>
      <c r="S61" s="93"/>
      <c r="T61" s="91">
        <f>0</f>
        <v>0</v>
      </c>
      <c r="U61" s="92"/>
      <c r="V61" s="93"/>
      <c r="W61" s="118">
        <f t="shared" si="25"/>
        <v>0</v>
      </c>
      <c r="X61" s="119"/>
      <c r="Y61" s="120"/>
      <c r="Z61" s="43">
        <v>0</v>
      </c>
      <c r="AA61" s="125">
        <f>5618.11+W61</f>
        <v>5618.11</v>
      </c>
      <c r="AB61" s="126"/>
    </row>
    <row r="62" spans="1:28" x14ac:dyDescent="0.25">
      <c r="A62" s="13" t="s">
        <v>53</v>
      </c>
      <c r="B62" s="51">
        <v>152</v>
      </c>
      <c r="C62" s="52"/>
      <c r="D62" s="53"/>
      <c r="E62" s="91">
        <v>0</v>
      </c>
      <c r="F62" s="92"/>
      <c r="G62" s="93"/>
      <c r="H62" s="91">
        <f>0</f>
        <v>0</v>
      </c>
      <c r="I62" s="92"/>
      <c r="J62" s="93"/>
      <c r="K62" s="91">
        <f>0</f>
        <v>0</v>
      </c>
      <c r="L62" s="92"/>
      <c r="M62" s="93"/>
      <c r="N62" s="91">
        <f>0</f>
        <v>0</v>
      </c>
      <c r="O62" s="92"/>
      <c r="P62" s="93"/>
      <c r="Q62" s="91">
        <f>0</f>
        <v>0</v>
      </c>
      <c r="R62" s="92"/>
      <c r="S62" s="93"/>
      <c r="T62" s="91">
        <f>184</f>
        <v>184</v>
      </c>
      <c r="U62" s="92"/>
      <c r="V62" s="93"/>
      <c r="W62" s="118">
        <f t="shared" si="25"/>
        <v>184</v>
      </c>
      <c r="X62" s="119"/>
      <c r="Y62" s="120"/>
      <c r="Z62" s="43">
        <v>0</v>
      </c>
      <c r="AA62" s="125">
        <f>152+W62</f>
        <v>336</v>
      </c>
      <c r="AB62" s="126"/>
    </row>
    <row r="63" spans="1:28" x14ac:dyDescent="0.25">
      <c r="A63" s="13" t="s">
        <v>54</v>
      </c>
      <c r="B63" s="51">
        <v>3016.6</v>
      </c>
      <c r="C63" s="52"/>
      <c r="D63" s="53"/>
      <c r="E63" s="91">
        <v>0</v>
      </c>
      <c r="F63" s="92"/>
      <c r="G63" s="93"/>
      <c r="H63" s="91">
        <f>0</f>
        <v>0</v>
      </c>
      <c r="I63" s="92"/>
      <c r="J63" s="93"/>
      <c r="K63" s="91">
        <f>0</f>
        <v>0</v>
      </c>
      <c r="L63" s="92"/>
      <c r="M63" s="93"/>
      <c r="N63" s="91">
        <f>0</f>
        <v>0</v>
      </c>
      <c r="O63" s="92"/>
      <c r="P63" s="93"/>
      <c r="Q63" s="91">
        <f>0</f>
        <v>0</v>
      </c>
      <c r="R63" s="92"/>
      <c r="S63" s="93"/>
      <c r="T63" s="91">
        <f>0</f>
        <v>0</v>
      </c>
      <c r="U63" s="92"/>
      <c r="V63" s="93"/>
      <c r="W63" s="118">
        <f t="shared" si="25"/>
        <v>0</v>
      </c>
      <c r="X63" s="119"/>
      <c r="Y63" s="120"/>
      <c r="Z63" s="43">
        <v>0</v>
      </c>
      <c r="AA63" s="125">
        <f>3016.6+W63</f>
        <v>3016.6</v>
      </c>
      <c r="AB63" s="126"/>
    </row>
    <row r="64" spans="1:28" x14ac:dyDescent="0.25">
      <c r="A64" s="12" t="s">
        <v>55</v>
      </c>
      <c r="B64" s="54">
        <f>SUM(B65:D68)</f>
        <v>528034.7300000001</v>
      </c>
      <c r="C64" s="55"/>
      <c r="D64" s="56"/>
      <c r="E64" s="54">
        <f t="shared" ref="E64" si="26">SUM(E65:G68)</f>
        <v>437.7</v>
      </c>
      <c r="F64" s="55"/>
      <c r="G64" s="56"/>
      <c r="H64" s="54">
        <f t="shared" ref="H64" si="27">SUM(H65:J68)</f>
        <v>15372.37</v>
      </c>
      <c r="I64" s="55"/>
      <c r="J64" s="56"/>
      <c r="K64" s="54">
        <f t="shared" ref="K64" si="28">SUM(K65:M68)</f>
        <v>519.06000000000006</v>
      </c>
      <c r="L64" s="55"/>
      <c r="M64" s="56"/>
      <c r="N64" s="54">
        <f t="shared" ref="N64" si="29">SUM(N65:P68)</f>
        <v>15222.63</v>
      </c>
      <c r="O64" s="55"/>
      <c r="P64" s="56"/>
      <c r="Q64" s="54">
        <f>SUM(Q65:S68)</f>
        <v>20781.829999999998</v>
      </c>
      <c r="R64" s="55"/>
      <c r="S64" s="56"/>
      <c r="T64" s="54">
        <f t="shared" ref="T64" si="30">SUM(T65:V68)</f>
        <v>15171.059999999998</v>
      </c>
      <c r="U64" s="55"/>
      <c r="V64" s="56"/>
      <c r="W64" s="54">
        <f t="shared" ref="W64" si="31">SUM(W65:Y68)</f>
        <v>67504.649999999994</v>
      </c>
      <c r="X64" s="55"/>
      <c r="Y64" s="56"/>
      <c r="Z64" s="48">
        <v>1.6136643489673582E-2</v>
      </c>
      <c r="AA64" s="123">
        <f>SUM(AA65:AB68)</f>
        <v>595539.38</v>
      </c>
      <c r="AB64" s="124"/>
    </row>
    <row r="65" spans="1:28" x14ac:dyDescent="0.25">
      <c r="A65" s="13" t="s">
        <v>56</v>
      </c>
      <c r="B65" s="51">
        <v>390944.95</v>
      </c>
      <c r="C65" s="52"/>
      <c r="D65" s="53"/>
      <c r="E65" s="91">
        <v>132.39000000000001</v>
      </c>
      <c r="F65" s="92"/>
      <c r="G65" s="93"/>
      <c r="H65" s="91">
        <f>14888.24</f>
        <v>14888.24</v>
      </c>
      <c r="I65" s="92"/>
      <c r="J65" s="93"/>
      <c r="K65" s="91">
        <f>5.97+27.86+5.97+3.98+3.98+1.99+3.98+27.86+1.99+7.96+67.66+11+1.99</f>
        <v>172.19</v>
      </c>
      <c r="L65" s="92"/>
      <c r="M65" s="93"/>
      <c r="N65" s="91">
        <f>1.99+3.98+11+14841.42+1.99+5.97</f>
        <v>14866.349999999999</v>
      </c>
      <c r="O65" s="92"/>
      <c r="P65" s="93"/>
      <c r="Q65" s="91">
        <f>13.93+3.98+11+3.98+1.99+3.98+11+1.99+36.5+87.56+11</f>
        <v>186.91</v>
      </c>
      <c r="R65" s="92"/>
      <c r="S65" s="93"/>
      <c r="T65" s="91">
        <f>43.78+3.98+11+9.95+14827.49+11</f>
        <v>14907.199999999999</v>
      </c>
      <c r="U65" s="92"/>
      <c r="V65" s="93"/>
      <c r="W65" s="118">
        <f>0+E65+H65+K65+N65+Q65+T65</f>
        <v>45153.279999999999</v>
      </c>
      <c r="X65" s="119"/>
      <c r="Y65" s="120"/>
      <c r="Z65" s="43">
        <v>4.8808093022569927E-3</v>
      </c>
      <c r="AA65" s="122">
        <f>390944.95+W65</f>
        <v>436098.23</v>
      </c>
      <c r="AB65" s="122"/>
    </row>
    <row r="66" spans="1:28" x14ac:dyDescent="0.25">
      <c r="A66" s="13" t="s">
        <v>57</v>
      </c>
      <c r="B66" s="51">
        <v>84251.94</v>
      </c>
      <c r="C66" s="52"/>
      <c r="D66" s="53"/>
      <c r="E66" s="91">
        <v>198.23</v>
      </c>
      <c r="F66" s="92"/>
      <c r="G66" s="93"/>
      <c r="H66" s="91">
        <f>187.01</f>
        <v>187.01</v>
      </c>
      <c r="I66" s="92"/>
      <c r="J66" s="93"/>
      <c r="K66" s="91">
        <f>173.91</f>
        <v>173.91</v>
      </c>
      <c r="L66" s="92"/>
      <c r="M66" s="93"/>
      <c r="N66" s="91">
        <f>173.91</f>
        <v>173.91</v>
      </c>
      <c r="O66" s="92"/>
      <c r="P66" s="93"/>
      <c r="Q66" s="91">
        <f>173.91</f>
        <v>173.91</v>
      </c>
      <c r="R66" s="92"/>
      <c r="S66" s="93"/>
      <c r="T66" s="91">
        <f>194.8</f>
        <v>194.8</v>
      </c>
      <c r="U66" s="92"/>
      <c r="V66" s="93"/>
      <c r="W66" s="118">
        <f>0+E66+H66+K66+N66+Q66+T66</f>
        <v>1101.77</v>
      </c>
      <c r="X66" s="119"/>
      <c r="Y66" s="120"/>
      <c r="Z66" s="43">
        <v>7.3081262027827141E-3</v>
      </c>
      <c r="AA66" s="122">
        <f>84251.94+W66</f>
        <v>85353.71</v>
      </c>
      <c r="AB66" s="122"/>
    </row>
    <row r="67" spans="1:28" x14ac:dyDescent="0.25">
      <c r="A67" s="13" t="s">
        <v>58</v>
      </c>
      <c r="B67" s="51">
        <v>51957.91</v>
      </c>
      <c r="C67" s="52"/>
      <c r="D67" s="53"/>
      <c r="E67" s="91">
        <v>107.08</v>
      </c>
      <c r="F67" s="92"/>
      <c r="G67" s="93"/>
      <c r="H67" s="91">
        <f>297.12</f>
        <v>297.12</v>
      </c>
      <c r="I67" s="92"/>
      <c r="J67" s="93"/>
      <c r="K67" s="91">
        <f>172.96</f>
        <v>172.96</v>
      </c>
      <c r="L67" s="92"/>
      <c r="M67" s="93"/>
      <c r="N67" s="91">
        <f>114.1+68.27</f>
        <v>182.37</v>
      </c>
      <c r="O67" s="92"/>
      <c r="P67" s="93"/>
      <c r="Q67" s="91">
        <f>90.71+20.38+20309.92</f>
        <v>20421.009999999998</v>
      </c>
      <c r="R67" s="92"/>
      <c r="S67" s="93"/>
      <c r="T67" s="91">
        <f>55.08+13.98</f>
        <v>69.06</v>
      </c>
      <c r="U67" s="92"/>
      <c r="V67" s="93"/>
      <c r="W67" s="118">
        <f>0+E67+H67+K67+N67+Q67+T67</f>
        <v>21249.599999999999</v>
      </c>
      <c r="X67" s="119"/>
      <c r="Y67" s="120"/>
      <c r="Z67" s="43">
        <v>3.9477079846338753E-3</v>
      </c>
      <c r="AA67" s="122">
        <f>51957.91+W67</f>
        <v>73207.510000000009</v>
      </c>
      <c r="AB67" s="122"/>
    </row>
    <row r="68" spans="1:28" x14ac:dyDescent="0.25">
      <c r="A68" s="13" t="s">
        <v>59</v>
      </c>
      <c r="B68" s="51">
        <v>879.93</v>
      </c>
      <c r="C68" s="52"/>
      <c r="D68" s="53"/>
      <c r="E68" s="91">
        <v>0</v>
      </c>
      <c r="F68" s="92"/>
      <c r="G68" s="93"/>
      <c r="H68" s="91">
        <f>0</f>
        <v>0</v>
      </c>
      <c r="I68" s="92"/>
      <c r="J68" s="93"/>
      <c r="K68" s="91">
        <f>0</f>
        <v>0</v>
      </c>
      <c r="L68" s="92"/>
      <c r="M68" s="93"/>
      <c r="N68" s="91">
        <f>0</f>
        <v>0</v>
      </c>
      <c r="O68" s="92"/>
      <c r="P68" s="93"/>
      <c r="Q68" s="91">
        <f>0</f>
        <v>0</v>
      </c>
      <c r="R68" s="92"/>
      <c r="S68" s="93"/>
      <c r="T68" s="91">
        <f>0</f>
        <v>0</v>
      </c>
      <c r="U68" s="92"/>
      <c r="V68" s="93"/>
      <c r="W68" s="118">
        <f>0+E68+H68+K68+N68+Q68+T68</f>
        <v>0</v>
      </c>
      <c r="X68" s="119"/>
      <c r="Y68" s="120"/>
      <c r="Z68" s="43">
        <v>0</v>
      </c>
      <c r="AA68" s="122">
        <f>879.93+W68</f>
        <v>879.93</v>
      </c>
      <c r="AB68" s="122"/>
    </row>
    <row r="69" spans="1:28" x14ac:dyDescent="0.25">
      <c r="A69" s="12" t="s">
        <v>60</v>
      </c>
      <c r="B69" s="54">
        <f>SUM(B70:D83)</f>
        <v>808019.54999999993</v>
      </c>
      <c r="C69" s="55"/>
      <c r="D69" s="56"/>
      <c r="E69" s="54">
        <f t="shared" ref="E69" si="32">SUM(E70:G83)</f>
        <v>7168.8099999999995</v>
      </c>
      <c r="F69" s="55"/>
      <c r="G69" s="56"/>
      <c r="H69" s="54">
        <f t="shared" ref="H69" si="33">SUM(H70:J83)</f>
        <v>10630.960000000001</v>
      </c>
      <c r="I69" s="55"/>
      <c r="J69" s="56"/>
      <c r="K69" s="54">
        <f t="shared" ref="K69" si="34">SUM(K70:M83)</f>
        <v>7888.9600000000009</v>
      </c>
      <c r="L69" s="55"/>
      <c r="M69" s="56"/>
      <c r="N69" s="54">
        <f t="shared" ref="N69" si="35">SUM(N70:P83)</f>
        <v>9171.619999999999</v>
      </c>
      <c r="O69" s="55"/>
      <c r="P69" s="56"/>
      <c r="Q69" s="54">
        <f>SUM(Q70:S83)</f>
        <v>8992.99</v>
      </c>
      <c r="R69" s="55"/>
      <c r="S69" s="56"/>
      <c r="T69" s="54">
        <f t="shared" ref="T69" si="36">SUM(T70:V83)</f>
        <v>8517.09</v>
      </c>
      <c r="U69" s="55"/>
      <c r="V69" s="56"/>
      <c r="W69" s="54">
        <f t="shared" ref="W69" si="37">SUM(W70:Y83)</f>
        <v>52370.43</v>
      </c>
      <c r="X69" s="55"/>
      <c r="Y69" s="56"/>
      <c r="Z69" s="48">
        <v>0.26429182365822906</v>
      </c>
      <c r="AA69" s="141">
        <f>SUM(AA70:AB83)</f>
        <v>860389.9800000001</v>
      </c>
      <c r="AB69" s="141"/>
    </row>
    <row r="70" spans="1:28" x14ac:dyDescent="0.25">
      <c r="A70" s="16" t="s">
        <v>61</v>
      </c>
      <c r="B70" s="51">
        <v>9608.91</v>
      </c>
      <c r="C70" s="52"/>
      <c r="D70" s="53"/>
      <c r="E70" s="91">
        <v>0</v>
      </c>
      <c r="F70" s="92"/>
      <c r="G70" s="93"/>
      <c r="H70" s="91">
        <f>0</f>
        <v>0</v>
      </c>
      <c r="I70" s="92"/>
      <c r="J70" s="93"/>
      <c r="K70" s="91">
        <f>0</f>
        <v>0</v>
      </c>
      <c r="L70" s="92"/>
      <c r="M70" s="93"/>
      <c r="N70" s="91">
        <f>0</f>
        <v>0</v>
      </c>
      <c r="O70" s="92"/>
      <c r="P70" s="93"/>
      <c r="Q70" s="91">
        <f>0</f>
        <v>0</v>
      </c>
      <c r="R70" s="92"/>
      <c r="S70" s="93"/>
      <c r="T70" s="91">
        <f>0</f>
        <v>0</v>
      </c>
      <c r="U70" s="92"/>
      <c r="V70" s="93"/>
      <c r="W70" s="118">
        <f t="shared" ref="W70:W83" si="38">0+E70+H70+K70+N70+Q70+T70</f>
        <v>0</v>
      </c>
      <c r="X70" s="119"/>
      <c r="Y70" s="120"/>
      <c r="Z70" s="43">
        <v>0</v>
      </c>
      <c r="AA70" s="122">
        <f>9608.91+W70</f>
        <v>9608.91</v>
      </c>
      <c r="AB70" s="122"/>
    </row>
    <row r="71" spans="1:28" x14ac:dyDescent="0.25">
      <c r="A71" s="16" t="s">
        <v>109</v>
      </c>
      <c r="B71" s="51">
        <v>14218.05</v>
      </c>
      <c r="C71" s="52"/>
      <c r="D71" s="53"/>
      <c r="E71" s="91">
        <v>0</v>
      </c>
      <c r="F71" s="92"/>
      <c r="G71" s="93"/>
      <c r="H71" s="91">
        <f>0</f>
        <v>0</v>
      </c>
      <c r="I71" s="92"/>
      <c r="J71" s="93"/>
      <c r="K71" s="91">
        <f>0</f>
        <v>0</v>
      </c>
      <c r="L71" s="92"/>
      <c r="M71" s="93"/>
      <c r="N71" s="91">
        <f>699</f>
        <v>699</v>
      </c>
      <c r="O71" s="92"/>
      <c r="P71" s="93"/>
      <c r="Q71" s="91">
        <f>0</f>
        <v>0</v>
      </c>
      <c r="R71" s="92"/>
      <c r="S71" s="93"/>
      <c r="T71" s="91">
        <f>0</f>
        <v>0</v>
      </c>
      <c r="U71" s="92"/>
      <c r="V71" s="93"/>
      <c r="W71" s="118">
        <f t="shared" si="38"/>
        <v>699</v>
      </c>
      <c r="X71" s="119"/>
      <c r="Y71" s="120"/>
      <c r="Z71" s="43">
        <v>0</v>
      </c>
      <c r="AA71" s="122">
        <f>14218.05+W71</f>
        <v>14917.05</v>
      </c>
      <c r="AB71" s="122"/>
    </row>
    <row r="72" spans="1:28" x14ac:dyDescent="0.25">
      <c r="A72" s="16" t="s">
        <v>108</v>
      </c>
      <c r="B72" s="51">
        <v>11343.63</v>
      </c>
      <c r="C72" s="52"/>
      <c r="D72" s="53"/>
      <c r="E72" s="91">
        <v>0</v>
      </c>
      <c r="F72" s="92"/>
      <c r="G72" s="93"/>
      <c r="H72" s="91">
        <f>394.07+1900.8+853.71</f>
        <v>3148.58</v>
      </c>
      <c r="I72" s="92"/>
      <c r="J72" s="93"/>
      <c r="K72" s="91">
        <f>0</f>
        <v>0</v>
      </c>
      <c r="L72" s="92"/>
      <c r="M72" s="93"/>
      <c r="N72" s="91">
        <f>394.07</f>
        <v>394.07</v>
      </c>
      <c r="O72" s="92"/>
      <c r="P72" s="93"/>
      <c r="Q72" s="91">
        <f>394.06</f>
        <v>394.06</v>
      </c>
      <c r="R72" s="92"/>
      <c r="S72" s="93"/>
      <c r="T72" s="91">
        <f>0</f>
        <v>0</v>
      </c>
      <c r="U72" s="92"/>
      <c r="V72" s="93"/>
      <c r="W72" s="118">
        <f t="shared" si="38"/>
        <v>3936.71</v>
      </c>
      <c r="X72" s="119"/>
      <c r="Y72" s="120"/>
      <c r="Z72" s="43">
        <v>0</v>
      </c>
      <c r="AA72" s="122">
        <f>11343.63+W72</f>
        <v>15280.34</v>
      </c>
      <c r="AB72" s="122"/>
    </row>
    <row r="73" spans="1:28" x14ac:dyDescent="0.25">
      <c r="A73" s="16" t="s">
        <v>62</v>
      </c>
      <c r="B73" s="51">
        <v>2031.58</v>
      </c>
      <c r="C73" s="52"/>
      <c r="D73" s="53"/>
      <c r="E73" s="91">
        <v>0</v>
      </c>
      <c r="F73" s="92"/>
      <c r="G73" s="93"/>
      <c r="H73" s="91">
        <f>0</f>
        <v>0</v>
      </c>
      <c r="I73" s="92"/>
      <c r="J73" s="93"/>
      <c r="K73" s="91">
        <f>0</f>
        <v>0</v>
      </c>
      <c r="L73" s="92"/>
      <c r="M73" s="93"/>
      <c r="N73" s="91">
        <f>0</f>
        <v>0</v>
      </c>
      <c r="O73" s="92"/>
      <c r="P73" s="93"/>
      <c r="Q73" s="91">
        <f>0</f>
        <v>0</v>
      </c>
      <c r="R73" s="92"/>
      <c r="S73" s="93"/>
      <c r="T73" s="91">
        <f>0</f>
        <v>0</v>
      </c>
      <c r="U73" s="92"/>
      <c r="V73" s="93"/>
      <c r="W73" s="118">
        <f t="shared" si="38"/>
        <v>0</v>
      </c>
      <c r="X73" s="119"/>
      <c r="Y73" s="120"/>
      <c r="Z73" s="43">
        <v>0</v>
      </c>
      <c r="AA73" s="122">
        <f>2031.58+W73</f>
        <v>2031.58</v>
      </c>
      <c r="AB73" s="122"/>
    </row>
    <row r="74" spans="1:28" x14ac:dyDescent="0.25">
      <c r="A74" s="13" t="s">
        <v>63</v>
      </c>
      <c r="B74" s="51">
        <v>8539.74</v>
      </c>
      <c r="C74" s="52"/>
      <c r="D74" s="53"/>
      <c r="E74" s="91">
        <v>0</v>
      </c>
      <c r="F74" s="92"/>
      <c r="G74" s="93"/>
      <c r="H74" s="91">
        <f>0</f>
        <v>0</v>
      </c>
      <c r="I74" s="92"/>
      <c r="J74" s="93"/>
      <c r="K74" s="91">
        <f>19.99</f>
        <v>19.989999999999998</v>
      </c>
      <c r="L74" s="92"/>
      <c r="M74" s="93"/>
      <c r="N74" s="91">
        <f>0</f>
        <v>0</v>
      </c>
      <c r="O74" s="92"/>
      <c r="P74" s="93"/>
      <c r="Q74" s="91">
        <f>314.5+18.19</f>
        <v>332.69</v>
      </c>
      <c r="R74" s="92"/>
      <c r="S74" s="93"/>
      <c r="T74" s="91">
        <f>7.99+3.39</f>
        <v>11.38</v>
      </c>
      <c r="U74" s="92"/>
      <c r="V74" s="93"/>
      <c r="W74" s="118">
        <f t="shared" si="38"/>
        <v>364.06</v>
      </c>
      <c r="X74" s="119"/>
      <c r="Y74" s="120"/>
      <c r="Z74" s="43">
        <v>0</v>
      </c>
      <c r="AA74" s="122">
        <f>8539.74+W74</f>
        <v>8903.7999999999993</v>
      </c>
      <c r="AB74" s="122"/>
    </row>
    <row r="75" spans="1:28" x14ac:dyDescent="0.25">
      <c r="A75" s="16" t="s">
        <v>64</v>
      </c>
      <c r="B75" s="51">
        <v>127750.82</v>
      </c>
      <c r="C75" s="52"/>
      <c r="D75" s="53"/>
      <c r="E75" s="91">
        <v>1839.83</v>
      </c>
      <c r="F75" s="92"/>
      <c r="G75" s="93"/>
      <c r="H75" s="91">
        <f>2057.82</f>
        <v>2057.8200000000002</v>
      </c>
      <c r="I75" s="92"/>
      <c r="J75" s="93"/>
      <c r="K75" s="91">
        <f>1996.5</f>
        <v>1996.5</v>
      </c>
      <c r="L75" s="92"/>
      <c r="M75" s="93"/>
      <c r="N75" s="91">
        <f>1996.5</f>
        <v>1996.5</v>
      </c>
      <c r="O75" s="92"/>
      <c r="P75" s="93"/>
      <c r="Q75" s="91">
        <f>1996.5</f>
        <v>1996.5</v>
      </c>
      <c r="R75" s="92"/>
      <c r="S75" s="93"/>
      <c r="T75" s="91">
        <f>2020.57</f>
        <v>2020.57</v>
      </c>
      <c r="U75" s="92"/>
      <c r="V75" s="93"/>
      <c r="W75" s="118">
        <f t="shared" si="38"/>
        <v>11907.72</v>
      </c>
      <c r="X75" s="119"/>
      <c r="Y75" s="120"/>
      <c r="Z75" s="43">
        <v>6.7828834342257588E-2</v>
      </c>
      <c r="AA75" s="122">
        <f>127750.82+W75</f>
        <v>139658.54</v>
      </c>
      <c r="AB75" s="122"/>
    </row>
    <row r="76" spans="1:28" x14ac:dyDescent="0.25">
      <c r="A76" s="16" t="s">
        <v>65</v>
      </c>
      <c r="B76" s="51">
        <v>24333.75</v>
      </c>
      <c r="C76" s="52"/>
      <c r="D76" s="53"/>
      <c r="E76" s="91">
        <v>297.04000000000002</v>
      </c>
      <c r="F76" s="92"/>
      <c r="G76" s="93"/>
      <c r="H76" s="91">
        <f>172.86+125.4+50.67</f>
        <v>348.93</v>
      </c>
      <c r="I76" s="92"/>
      <c r="J76" s="93"/>
      <c r="K76" s="91">
        <f>130.04+125.12+50.67</f>
        <v>305.83</v>
      </c>
      <c r="L76" s="92"/>
      <c r="M76" s="93"/>
      <c r="N76" s="91">
        <f>169.16+125.25+73.3</f>
        <v>367.71</v>
      </c>
      <c r="O76" s="92"/>
      <c r="P76" s="93"/>
      <c r="Q76" s="91">
        <f>141.74+125.43+102.15</f>
        <v>369.32000000000005</v>
      </c>
      <c r="R76" s="92"/>
      <c r="S76" s="93"/>
      <c r="T76" s="91">
        <f>100.77+128.45+101.65</f>
        <v>330.87</v>
      </c>
      <c r="U76" s="92"/>
      <c r="V76" s="93"/>
      <c r="W76" s="118">
        <f t="shared" si="38"/>
        <v>2019.6999999999998</v>
      </c>
      <c r="X76" s="119"/>
      <c r="Y76" s="120"/>
      <c r="Z76" s="43">
        <v>1.0950944898726618E-2</v>
      </c>
      <c r="AA76" s="122">
        <f>24333.75+W76</f>
        <v>26353.45</v>
      </c>
      <c r="AB76" s="122"/>
    </row>
    <row r="77" spans="1:28" x14ac:dyDescent="0.25">
      <c r="A77" s="16" t="s">
        <v>66</v>
      </c>
      <c r="B77" s="51">
        <v>9274.5</v>
      </c>
      <c r="C77" s="52"/>
      <c r="D77" s="53"/>
      <c r="E77" s="91">
        <v>0</v>
      </c>
      <c r="F77" s="92"/>
      <c r="G77" s="93"/>
      <c r="H77" s="91">
        <f>16.5</f>
        <v>16.5</v>
      </c>
      <c r="I77" s="92"/>
      <c r="J77" s="93"/>
      <c r="K77" s="91">
        <f>16.5+16.5+13.98</f>
        <v>46.980000000000004</v>
      </c>
      <c r="L77" s="92"/>
      <c r="M77" s="93"/>
      <c r="N77" s="91">
        <f>16.5</f>
        <v>16.5</v>
      </c>
      <c r="O77" s="92"/>
      <c r="P77" s="93"/>
      <c r="Q77" s="91">
        <f>16.5+18</f>
        <v>34.5</v>
      </c>
      <c r="R77" s="92"/>
      <c r="S77" s="93"/>
      <c r="T77" s="91">
        <f>12.98+35+12.98+14.69+18</f>
        <v>93.65</v>
      </c>
      <c r="U77" s="92"/>
      <c r="V77" s="93"/>
      <c r="W77" s="118">
        <f t="shared" si="38"/>
        <v>208.13</v>
      </c>
      <c r="X77" s="119"/>
      <c r="Y77" s="120"/>
      <c r="Z77" s="43">
        <v>0</v>
      </c>
      <c r="AA77" s="122">
        <f>9274.5+W77</f>
        <v>9482.6299999999992</v>
      </c>
      <c r="AB77" s="122"/>
    </row>
    <row r="78" spans="1:28" x14ac:dyDescent="0.25">
      <c r="A78" s="16" t="s">
        <v>67</v>
      </c>
      <c r="B78" s="51">
        <v>4501.6000000000004</v>
      </c>
      <c r="C78" s="52"/>
      <c r="D78" s="53"/>
      <c r="E78" s="91">
        <v>0</v>
      </c>
      <c r="F78" s="92"/>
      <c r="G78" s="93"/>
      <c r="H78" s="91">
        <f>0</f>
        <v>0</v>
      </c>
      <c r="I78" s="92"/>
      <c r="J78" s="93"/>
      <c r="K78" s="91">
        <f>0</f>
        <v>0</v>
      </c>
      <c r="L78" s="92"/>
      <c r="M78" s="93"/>
      <c r="N78" s="91">
        <f>0</f>
        <v>0</v>
      </c>
      <c r="O78" s="92"/>
      <c r="P78" s="93"/>
      <c r="Q78" s="91">
        <f>0</f>
        <v>0</v>
      </c>
      <c r="R78" s="92"/>
      <c r="S78" s="93"/>
      <c r="T78" s="91">
        <f>0</f>
        <v>0</v>
      </c>
      <c r="U78" s="92"/>
      <c r="V78" s="93"/>
      <c r="W78" s="118">
        <f t="shared" si="38"/>
        <v>0</v>
      </c>
      <c r="X78" s="119"/>
      <c r="Y78" s="120"/>
      <c r="Z78" s="43">
        <v>0</v>
      </c>
      <c r="AA78" s="122">
        <f>4501.6+W78</f>
        <v>4501.6000000000004</v>
      </c>
      <c r="AB78" s="122"/>
    </row>
    <row r="79" spans="1:28" x14ac:dyDescent="0.25">
      <c r="A79" s="16" t="s">
        <v>68</v>
      </c>
      <c r="B79" s="51">
        <v>4549.2700000000004</v>
      </c>
      <c r="C79" s="52"/>
      <c r="D79" s="53"/>
      <c r="E79" s="91">
        <v>0</v>
      </c>
      <c r="F79" s="92"/>
      <c r="G79" s="93"/>
      <c r="H79" s="91">
        <f>0</f>
        <v>0</v>
      </c>
      <c r="I79" s="92"/>
      <c r="J79" s="93"/>
      <c r="K79" s="91">
        <f>39.99+8.99+1.99+4.89</f>
        <v>55.860000000000007</v>
      </c>
      <c r="L79" s="92"/>
      <c r="M79" s="93"/>
      <c r="N79" s="91">
        <f>0</f>
        <v>0</v>
      </c>
      <c r="O79" s="92"/>
      <c r="P79" s="93"/>
      <c r="Q79" s="91">
        <f>0</f>
        <v>0</v>
      </c>
      <c r="R79" s="92"/>
      <c r="S79" s="93"/>
      <c r="T79" s="91">
        <f>2.79+13.29+13.29+45.95+41.99+4.99+16.99</f>
        <v>139.29</v>
      </c>
      <c r="U79" s="92"/>
      <c r="V79" s="93"/>
      <c r="W79" s="118">
        <f t="shared" si="38"/>
        <v>195.15</v>
      </c>
      <c r="X79" s="119"/>
      <c r="Y79" s="120"/>
      <c r="Z79" s="43">
        <v>0</v>
      </c>
      <c r="AA79" s="122">
        <f>4549.27+W79</f>
        <v>4744.42</v>
      </c>
      <c r="AB79" s="122"/>
    </row>
    <row r="80" spans="1:28" x14ac:dyDescent="0.25">
      <c r="A80" s="16" t="s">
        <v>69</v>
      </c>
      <c r="B80" s="51">
        <v>2359.5500000000002</v>
      </c>
      <c r="C80" s="52"/>
      <c r="D80" s="53"/>
      <c r="E80" s="91">
        <v>0</v>
      </c>
      <c r="F80" s="92"/>
      <c r="G80" s="93"/>
      <c r="H80" s="91">
        <f>0</f>
        <v>0</v>
      </c>
      <c r="I80" s="92"/>
      <c r="J80" s="93"/>
      <c r="K80" s="91">
        <f>0</f>
        <v>0</v>
      </c>
      <c r="L80" s="92"/>
      <c r="M80" s="93"/>
      <c r="N80" s="91">
        <f>0</f>
        <v>0</v>
      </c>
      <c r="O80" s="92"/>
      <c r="P80" s="93"/>
      <c r="Q80" s="91">
        <f>0</f>
        <v>0</v>
      </c>
      <c r="R80" s="92"/>
      <c r="S80" s="93"/>
      <c r="T80" s="91">
        <f>0</f>
        <v>0</v>
      </c>
      <c r="U80" s="92"/>
      <c r="V80" s="93"/>
      <c r="W80" s="118">
        <f t="shared" si="38"/>
        <v>0</v>
      </c>
      <c r="X80" s="119"/>
      <c r="Y80" s="120"/>
      <c r="Z80" s="43">
        <v>0</v>
      </c>
      <c r="AA80" s="122">
        <f>2359.55+W80</f>
        <v>2359.5500000000002</v>
      </c>
      <c r="AB80" s="122"/>
    </row>
    <row r="81" spans="1:28" x14ac:dyDescent="0.25">
      <c r="A81" s="16" t="s">
        <v>70</v>
      </c>
      <c r="B81" s="51">
        <v>2056.7600000000002</v>
      </c>
      <c r="C81" s="52"/>
      <c r="D81" s="53"/>
      <c r="E81" s="91">
        <v>0</v>
      </c>
      <c r="F81" s="92"/>
      <c r="G81" s="93"/>
      <c r="H81" s="91">
        <f>0</f>
        <v>0</v>
      </c>
      <c r="I81" s="92"/>
      <c r="J81" s="93"/>
      <c r="K81" s="91">
        <f>0</f>
        <v>0</v>
      </c>
      <c r="L81" s="92"/>
      <c r="M81" s="93"/>
      <c r="N81" s="91">
        <f>0</f>
        <v>0</v>
      </c>
      <c r="O81" s="92"/>
      <c r="P81" s="93"/>
      <c r="Q81" s="91">
        <f>0</f>
        <v>0</v>
      </c>
      <c r="R81" s="92"/>
      <c r="S81" s="93"/>
      <c r="T81" s="91">
        <f>0</f>
        <v>0</v>
      </c>
      <c r="U81" s="92"/>
      <c r="V81" s="93"/>
      <c r="W81" s="118">
        <f t="shared" si="38"/>
        <v>0</v>
      </c>
      <c r="X81" s="119"/>
      <c r="Y81" s="120"/>
      <c r="Z81" s="43">
        <v>0</v>
      </c>
      <c r="AA81" s="122">
        <f>2056.76+W81</f>
        <v>2056.7600000000002</v>
      </c>
      <c r="AB81" s="122"/>
    </row>
    <row r="82" spans="1:28" x14ac:dyDescent="0.25">
      <c r="A82" s="16" t="s">
        <v>71</v>
      </c>
      <c r="B82" s="51">
        <v>344107.8</v>
      </c>
      <c r="C82" s="52"/>
      <c r="D82" s="53"/>
      <c r="E82" s="91">
        <v>1876.24</v>
      </c>
      <c r="F82" s="92"/>
      <c r="G82" s="93"/>
      <c r="H82" s="91">
        <f>2469.86</f>
        <v>2469.86</v>
      </c>
      <c r="I82" s="92"/>
      <c r="J82" s="93"/>
      <c r="K82" s="91">
        <f>3145.53</f>
        <v>3145.53</v>
      </c>
      <c r="L82" s="92"/>
      <c r="M82" s="93"/>
      <c r="N82" s="91">
        <f>3107.13</f>
        <v>3107.13</v>
      </c>
      <c r="O82" s="92"/>
      <c r="P82" s="93"/>
      <c r="Q82" s="91">
        <f>3170.73</f>
        <v>3170.73</v>
      </c>
      <c r="R82" s="92"/>
      <c r="S82" s="93"/>
      <c r="T82" s="91">
        <f>3482.29</f>
        <v>3482.29</v>
      </c>
      <c r="U82" s="92"/>
      <c r="V82" s="93"/>
      <c r="W82" s="118">
        <f t="shared" si="38"/>
        <v>17251.780000000002</v>
      </c>
      <c r="X82" s="119"/>
      <c r="Y82" s="120"/>
      <c r="Z82" s="43">
        <v>6.9171158284361794E-2</v>
      </c>
      <c r="AA82" s="122">
        <f>344107.8+W82</f>
        <v>361359.58</v>
      </c>
      <c r="AB82" s="122"/>
    </row>
    <row r="83" spans="1:28" x14ac:dyDescent="0.25">
      <c r="A83" s="16" t="s">
        <v>72</v>
      </c>
      <c r="B83" s="51">
        <v>243343.59</v>
      </c>
      <c r="C83" s="52"/>
      <c r="D83" s="53"/>
      <c r="E83" s="91">
        <v>3155.7</v>
      </c>
      <c r="F83" s="92"/>
      <c r="G83" s="93"/>
      <c r="H83" s="91">
        <f>332.48+225.6+708.86+41.56+1280.77</f>
        <v>2589.27</v>
      </c>
      <c r="I83" s="92"/>
      <c r="J83" s="93"/>
      <c r="K83" s="91">
        <f>309.2+38.65+59.11+554.76+177.6+1178.95</f>
        <v>2318.27</v>
      </c>
      <c r="L83" s="92"/>
      <c r="M83" s="93"/>
      <c r="N83" s="91">
        <f>309.2+1178.95+169.87+38.65+216+678.04</f>
        <v>2590.71</v>
      </c>
      <c r="O83" s="92"/>
      <c r="P83" s="93"/>
      <c r="Q83" s="91">
        <f>309.2+1178.95+38.65+169.87+792.12+206.4</f>
        <v>2695.19</v>
      </c>
      <c r="R83" s="92"/>
      <c r="S83" s="93"/>
      <c r="T83" s="91">
        <f>346.31+1495.26+43.29+129.6+424.58</f>
        <v>2439.04</v>
      </c>
      <c r="U83" s="92"/>
      <c r="V83" s="93"/>
      <c r="W83" s="118">
        <f t="shared" si="38"/>
        <v>15788.18</v>
      </c>
      <c r="X83" s="119"/>
      <c r="Y83" s="120"/>
      <c r="Z83" s="43">
        <v>0.11634088613288307</v>
      </c>
      <c r="AA83" s="122">
        <f>243343.59+W83</f>
        <v>259131.77</v>
      </c>
      <c r="AB83" s="122"/>
    </row>
    <row r="84" spans="1:28" x14ac:dyDescent="0.25">
      <c r="A84" s="12" t="s">
        <v>73</v>
      </c>
      <c r="B84" s="54">
        <f>SUM(B85:D88)</f>
        <v>23828.720000000001</v>
      </c>
      <c r="C84" s="55"/>
      <c r="D84" s="56"/>
      <c r="E84" s="54">
        <f t="shared" ref="E84" si="39">SUM(E85:G88)</f>
        <v>17</v>
      </c>
      <c r="F84" s="55"/>
      <c r="G84" s="56"/>
      <c r="H84" s="54">
        <f t="shared" ref="H84" si="40">SUM(H85:J88)</f>
        <v>0</v>
      </c>
      <c r="I84" s="55"/>
      <c r="J84" s="56"/>
      <c r="K84" s="54">
        <f t="shared" ref="K84" si="41">SUM(K85:M88)</f>
        <v>18</v>
      </c>
      <c r="L84" s="55"/>
      <c r="M84" s="56"/>
      <c r="N84" s="54">
        <f t="shared" ref="N84" si="42">SUM(N85:P88)</f>
        <v>18</v>
      </c>
      <c r="O84" s="55"/>
      <c r="P84" s="56"/>
      <c r="Q84" s="54">
        <f t="shared" ref="Q84" si="43">SUM(Q85:S88)</f>
        <v>85.1</v>
      </c>
      <c r="R84" s="55"/>
      <c r="S84" s="56"/>
      <c r="T84" s="54">
        <f t="shared" ref="T84" si="44">SUM(T85:V88)</f>
        <v>20</v>
      </c>
      <c r="U84" s="55"/>
      <c r="V84" s="56"/>
      <c r="W84" s="54">
        <f t="shared" ref="W84" si="45">SUM(W85:Y88)</f>
        <v>158.1</v>
      </c>
      <c r="X84" s="55"/>
      <c r="Y84" s="56"/>
      <c r="Z84" s="48">
        <v>6.2673735280888935E-4</v>
      </c>
      <c r="AA84" s="123">
        <f>SUM(AA85:AB88)</f>
        <v>23986.82</v>
      </c>
      <c r="AB84" s="124"/>
    </row>
    <row r="85" spans="1:28" x14ac:dyDescent="0.25">
      <c r="A85" s="13" t="s">
        <v>74</v>
      </c>
      <c r="B85" s="51">
        <v>4832.0600000000004</v>
      </c>
      <c r="C85" s="52"/>
      <c r="D85" s="53"/>
      <c r="E85" s="91">
        <v>0</v>
      </c>
      <c r="F85" s="92"/>
      <c r="G85" s="93"/>
      <c r="H85" s="91">
        <f>0</f>
        <v>0</v>
      </c>
      <c r="I85" s="92"/>
      <c r="J85" s="93"/>
      <c r="K85" s="91">
        <f>0</f>
        <v>0</v>
      </c>
      <c r="L85" s="92"/>
      <c r="M85" s="93"/>
      <c r="N85" s="91">
        <f>0</f>
        <v>0</v>
      </c>
      <c r="O85" s="92"/>
      <c r="P85" s="93"/>
      <c r="Q85" s="91">
        <f>0</f>
        <v>0</v>
      </c>
      <c r="R85" s="92"/>
      <c r="S85" s="93"/>
      <c r="T85" s="91">
        <f>0</f>
        <v>0</v>
      </c>
      <c r="U85" s="92"/>
      <c r="V85" s="93"/>
      <c r="W85" s="118">
        <f>0+E85+H85+K85+N85+Q85+T85</f>
        <v>0</v>
      </c>
      <c r="X85" s="119"/>
      <c r="Y85" s="120"/>
      <c r="Z85" s="43">
        <v>0</v>
      </c>
      <c r="AA85" s="122">
        <f>4832.06+W85</f>
        <v>4832.0600000000004</v>
      </c>
      <c r="AB85" s="122"/>
    </row>
    <row r="86" spans="1:28" x14ac:dyDescent="0.25">
      <c r="A86" s="13" t="s">
        <v>75</v>
      </c>
      <c r="B86" s="51">
        <v>2257.9499999999998</v>
      </c>
      <c r="C86" s="52"/>
      <c r="D86" s="53"/>
      <c r="E86" s="91">
        <v>17</v>
      </c>
      <c r="F86" s="92"/>
      <c r="G86" s="93"/>
      <c r="H86" s="91">
        <f>0</f>
        <v>0</v>
      </c>
      <c r="I86" s="92"/>
      <c r="J86" s="93"/>
      <c r="K86" s="91">
        <f>18</f>
        <v>18</v>
      </c>
      <c r="L86" s="92"/>
      <c r="M86" s="93"/>
      <c r="N86" s="91">
        <f>18</f>
        <v>18</v>
      </c>
      <c r="O86" s="92"/>
      <c r="P86" s="93"/>
      <c r="Q86" s="91">
        <f>20</f>
        <v>20</v>
      </c>
      <c r="R86" s="92"/>
      <c r="S86" s="93"/>
      <c r="T86" s="91">
        <f>20</f>
        <v>20</v>
      </c>
      <c r="U86" s="92"/>
      <c r="V86" s="93"/>
      <c r="W86" s="118">
        <f>0+E86+H86+K86+N86+Q86+T86</f>
        <v>93</v>
      </c>
      <c r="X86" s="119"/>
      <c r="Y86" s="120"/>
      <c r="Z86" s="43">
        <v>2.0830882641257875E-3</v>
      </c>
      <c r="AA86" s="122">
        <f>2257.95+W86</f>
        <v>2350.9499999999998</v>
      </c>
      <c r="AB86" s="122"/>
    </row>
    <row r="87" spans="1:28" x14ac:dyDescent="0.25">
      <c r="A87" s="13" t="s">
        <v>76</v>
      </c>
      <c r="B87" s="51">
        <v>15957.96</v>
      </c>
      <c r="C87" s="52"/>
      <c r="D87" s="53"/>
      <c r="E87" s="91">
        <v>0</v>
      </c>
      <c r="F87" s="92"/>
      <c r="G87" s="93"/>
      <c r="H87" s="91">
        <f>0</f>
        <v>0</v>
      </c>
      <c r="I87" s="92"/>
      <c r="J87" s="93"/>
      <c r="K87" s="91">
        <f>0</f>
        <v>0</v>
      </c>
      <c r="L87" s="92"/>
      <c r="M87" s="93"/>
      <c r="N87" s="91">
        <f>0</f>
        <v>0</v>
      </c>
      <c r="O87" s="92"/>
      <c r="P87" s="93"/>
      <c r="Q87" s="91">
        <f>35.1</f>
        <v>35.1</v>
      </c>
      <c r="R87" s="92"/>
      <c r="S87" s="93"/>
      <c r="T87" s="91">
        <f>0</f>
        <v>0</v>
      </c>
      <c r="U87" s="92"/>
      <c r="V87" s="93"/>
      <c r="W87" s="118">
        <f>0+E87+H87+K87+N87+Q87+T87</f>
        <v>35.1</v>
      </c>
      <c r="X87" s="119"/>
      <c r="Y87" s="120"/>
      <c r="Z87" s="43">
        <v>0</v>
      </c>
      <c r="AA87" s="122">
        <f>15957.96+W87</f>
        <v>15993.06</v>
      </c>
      <c r="AB87" s="122"/>
    </row>
    <row r="88" spans="1:28" x14ac:dyDescent="0.25">
      <c r="A88" s="13" t="s">
        <v>77</v>
      </c>
      <c r="B88" s="51">
        <v>780.75</v>
      </c>
      <c r="C88" s="52"/>
      <c r="D88" s="53"/>
      <c r="E88" s="91">
        <v>0</v>
      </c>
      <c r="F88" s="92"/>
      <c r="G88" s="93"/>
      <c r="H88" s="91">
        <f>0</f>
        <v>0</v>
      </c>
      <c r="I88" s="92"/>
      <c r="J88" s="93"/>
      <c r="K88" s="91">
        <f>0</f>
        <v>0</v>
      </c>
      <c r="L88" s="92"/>
      <c r="M88" s="93"/>
      <c r="N88" s="91">
        <f>0</f>
        <v>0</v>
      </c>
      <c r="O88" s="92"/>
      <c r="P88" s="93"/>
      <c r="Q88" s="91">
        <f>16+14</f>
        <v>30</v>
      </c>
      <c r="R88" s="92"/>
      <c r="S88" s="93"/>
      <c r="T88" s="91">
        <f>0</f>
        <v>0</v>
      </c>
      <c r="U88" s="92"/>
      <c r="V88" s="93"/>
      <c r="W88" s="118">
        <f>0+E88+H88+K88+N88+Q88+T88</f>
        <v>30</v>
      </c>
      <c r="X88" s="119"/>
      <c r="Y88" s="120"/>
      <c r="Z88" s="43">
        <v>0</v>
      </c>
      <c r="AA88" s="122">
        <f>780.75+W88</f>
        <v>810.75</v>
      </c>
      <c r="AB88" s="122"/>
    </row>
    <row r="89" spans="1:28" x14ac:dyDescent="0.25">
      <c r="A89" s="12" t="s">
        <v>78</v>
      </c>
      <c r="B89" s="54">
        <f>SUM(B90:D93)</f>
        <v>359422.61999999994</v>
      </c>
      <c r="C89" s="55"/>
      <c r="D89" s="56"/>
      <c r="E89" s="54">
        <f t="shared" ref="E89" si="46">SUM(E90:G93)</f>
        <v>0</v>
      </c>
      <c r="F89" s="55"/>
      <c r="G89" s="56"/>
      <c r="H89" s="54">
        <f t="shared" ref="H89" si="47">SUM(H90:J93)</f>
        <v>0</v>
      </c>
      <c r="I89" s="55"/>
      <c r="J89" s="56"/>
      <c r="K89" s="54">
        <f t="shared" ref="K89" si="48">SUM(K90:M93)</f>
        <v>0</v>
      </c>
      <c r="L89" s="55"/>
      <c r="M89" s="56"/>
      <c r="N89" s="54">
        <f t="shared" ref="N89" si="49">SUM(N90:P93)</f>
        <v>0</v>
      </c>
      <c r="O89" s="55"/>
      <c r="P89" s="56"/>
      <c r="Q89" s="54">
        <f t="shared" ref="Q89" si="50">SUM(Q90:S93)</f>
        <v>327.58</v>
      </c>
      <c r="R89" s="55"/>
      <c r="S89" s="56"/>
      <c r="T89" s="54">
        <f t="shared" ref="T89" si="51">SUM(T90:V93)</f>
        <v>8431.43</v>
      </c>
      <c r="U89" s="55"/>
      <c r="V89" s="56"/>
      <c r="W89" s="54">
        <f t="shared" ref="W89" si="52">SUM(W90:Y93)</f>
        <v>8759.01</v>
      </c>
      <c r="X89" s="55"/>
      <c r="Y89" s="56"/>
      <c r="Z89" s="48">
        <v>0</v>
      </c>
      <c r="AA89" s="123">
        <f>SUM(AA90:AB93)</f>
        <v>368181.62999999995</v>
      </c>
      <c r="AB89" s="124"/>
    </row>
    <row r="90" spans="1:28" x14ac:dyDescent="0.25">
      <c r="A90" s="13" t="s">
        <v>79</v>
      </c>
      <c r="B90" s="51">
        <v>169708.83</v>
      </c>
      <c r="C90" s="52"/>
      <c r="D90" s="53"/>
      <c r="E90" s="91">
        <v>0</v>
      </c>
      <c r="F90" s="92"/>
      <c r="G90" s="93"/>
      <c r="H90" s="91">
        <f>0</f>
        <v>0</v>
      </c>
      <c r="I90" s="92"/>
      <c r="J90" s="93"/>
      <c r="K90" s="91">
        <f>0</f>
        <v>0</v>
      </c>
      <c r="L90" s="92"/>
      <c r="M90" s="93"/>
      <c r="N90" s="91">
        <f>0</f>
        <v>0</v>
      </c>
      <c r="O90" s="92"/>
      <c r="P90" s="93"/>
      <c r="Q90" s="91">
        <f>240</f>
        <v>240</v>
      </c>
      <c r="R90" s="92"/>
      <c r="S90" s="93"/>
      <c r="T90" s="91">
        <f>974.7+7456.73</f>
        <v>8431.43</v>
      </c>
      <c r="U90" s="92"/>
      <c r="V90" s="93"/>
      <c r="W90" s="118">
        <f>0+E90+H90+K90+N90+Q90+T90</f>
        <v>8671.43</v>
      </c>
      <c r="X90" s="119"/>
      <c r="Y90" s="120"/>
      <c r="Z90" s="43">
        <v>0</v>
      </c>
      <c r="AA90" s="122">
        <f>169708.83+W90</f>
        <v>178380.25999999998</v>
      </c>
      <c r="AB90" s="122"/>
    </row>
    <row r="91" spans="1:28" x14ac:dyDescent="0.25">
      <c r="A91" s="13" t="s">
        <v>80</v>
      </c>
      <c r="B91" s="51">
        <v>1709.88</v>
      </c>
      <c r="C91" s="52"/>
      <c r="D91" s="53"/>
      <c r="E91" s="91">
        <v>0</v>
      </c>
      <c r="F91" s="92"/>
      <c r="G91" s="93"/>
      <c r="H91" s="91">
        <f>0</f>
        <v>0</v>
      </c>
      <c r="I91" s="92"/>
      <c r="J91" s="93"/>
      <c r="K91" s="91">
        <f>0</f>
        <v>0</v>
      </c>
      <c r="L91" s="92"/>
      <c r="M91" s="93"/>
      <c r="N91" s="91">
        <f>0</f>
        <v>0</v>
      </c>
      <c r="O91" s="92"/>
      <c r="P91" s="93"/>
      <c r="Q91" s="91">
        <f>0</f>
        <v>0</v>
      </c>
      <c r="R91" s="92"/>
      <c r="S91" s="93"/>
      <c r="T91" s="91">
        <f>0</f>
        <v>0</v>
      </c>
      <c r="U91" s="92"/>
      <c r="V91" s="93"/>
      <c r="W91" s="118">
        <f>0+E91+H91+K91+N91+Q91+T91</f>
        <v>0</v>
      </c>
      <c r="X91" s="119"/>
      <c r="Y91" s="120"/>
      <c r="Z91" s="43">
        <v>0</v>
      </c>
      <c r="AA91" s="122">
        <f>1709.88+W91</f>
        <v>1709.88</v>
      </c>
      <c r="AB91" s="122"/>
    </row>
    <row r="92" spans="1:28" x14ac:dyDescent="0.25">
      <c r="A92" s="13" t="s">
        <v>81</v>
      </c>
      <c r="B92" s="51">
        <v>183057.61</v>
      </c>
      <c r="C92" s="52"/>
      <c r="D92" s="53"/>
      <c r="E92" s="91">
        <v>0</v>
      </c>
      <c r="F92" s="92"/>
      <c r="G92" s="93"/>
      <c r="H92" s="91">
        <f>0</f>
        <v>0</v>
      </c>
      <c r="I92" s="92"/>
      <c r="J92" s="93"/>
      <c r="K92" s="91">
        <f>0</f>
        <v>0</v>
      </c>
      <c r="L92" s="92"/>
      <c r="M92" s="93"/>
      <c r="N92" s="91">
        <f>0</f>
        <v>0</v>
      </c>
      <c r="O92" s="92"/>
      <c r="P92" s="93"/>
      <c r="Q92" s="91">
        <f>30+57.58</f>
        <v>87.58</v>
      </c>
      <c r="R92" s="92"/>
      <c r="S92" s="93"/>
      <c r="T92" s="91">
        <f>0</f>
        <v>0</v>
      </c>
      <c r="U92" s="92"/>
      <c r="V92" s="93"/>
      <c r="W92" s="118">
        <f>0+E92+H92+K92+N92+Q92+T92</f>
        <v>87.58</v>
      </c>
      <c r="X92" s="119"/>
      <c r="Y92" s="120"/>
      <c r="Z92" s="43">
        <v>0</v>
      </c>
      <c r="AA92" s="122">
        <f>183057.61+W92</f>
        <v>183145.18999999997</v>
      </c>
      <c r="AB92" s="122"/>
    </row>
    <row r="93" spans="1:28" x14ac:dyDescent="0.25">
      <c r="A93" s="13" t="s">
        <v>82</v>
      </c>
      <c r="B93" s="51">
        <v>4946.3</v>
      </c>
      <c r="C93" s="52"/>
      <c r="D93" s="53"/>
      <c r="E93" s="91">
        <v>0</v>
      </c>
      <c r="F93" s="92"/>
      <c r="G93" s="93"/>
      <c r="H93" s="91">
        <f>0</f>
        <v>0</v>
      </c>
      <c r="I93" s="92"/>
      <c r="J93" s="93"/>
      <c r="K93" s="91">
        <f>0</f>
        <v>0</v>
      </c>
      <c r="L93" s="92"/>
      <c r="M93" s="93"/>
      <c r="N93" s="91">
        <f>0</f>
        <v>0</v>
      </c>
      <c r="O93" s="92"/>
      <c r="P93" s="93"/>
      <c r="Q93" s="91">
        <f>0</f>
        <v>0</v>
      </c>
      <c r="R93" s="92"/>
      <c r="S93" s="93"/>
      <c r="T93" s="91">
        <f>0</f>
        <v>0</v>
      </c>
      <c r="U93" s="92"/>
      <c r="V93" s="93"/>
      <c r="W93" s="118">
        <f>0+E93+H93+K93+N93+Q93+T93</f>
        <v>0</v>
      </c>
      <c r="X93" s="119"/>
      <c r="Y93" s="120"/>
      <c r="Z93" s="43">
        <v>0</v>
      </c>
      <c r="AA93" s="122">
        <f>4946.3+W93</f>
        <v>4946.3</v>
      </c>
      <c r="AB93" s="122"/>
    </row>
    <row r="94" spans="1:28" x14ac:dyDescent="0.25">
      <c r="A94" s="12" t="s">
        <v>83</v>
      </c>
      <c r="B94" s="54">
        <f>SUM(B95:D101)</f>
        <v>278724.39</v>
      </c>
      <c r="C94" s="55"/>
      <c r="D94" s="56"/>
      <c r="E94" s="54">
        <f t="shared" ref="E94" si="53">SUM(E95:G101)</f>
        <v>89.96</v>
      </c>
      <c r="F94" s="55"/>
      <c r="G94" s="56"/>
      <c r="H94" s="54">
        <f t="shared" ref="H94" si="54">SUM(H95:J101)</f>
        <v>2172.63</v>
      </c>
      <c r="I94" s="55"/>
      <c r="J94" s="56"/>
      <c r="K94" s="54">
        <f t="shared" ref="K94" si="55">SUM(K95:M101)</f>
        <v>0</v>
      </c>
      <c r="L94" s="55"/>
      <c r="M94" s="56"/>
      <c r="N94" s="54">
        <f t="shared" ref="N94" si="56">SUM(N95:P101)</f>
        <v>0</v>
      </c>
      <c r="O94" s="55"/>
      <c r="P94" s="56"/>
      <c r="Q94" s="54">
        <f t="shared" ref="Q94" si="57">SUM(Q95:S101)</f>
        <v>980.64</v>
      </c>
      <c r="R94" s="55"/>
      <c r="S94" s="56"/>
      <c r="T94" s="54">
        <f t="shared" ref="T94" si="58">SUM(T95:V101)</f>
        <v>13685.72</v>
      </c>
      <c r="U94" s="55"/>
      <c r="V94" s="56"/>
      <c r="W94" s="54">
        <f t="shared" ref="W94" si="59">SUM(W95:Y101)</f>
        <v>16928.949999999997</v>
      </c>
      <c r="X94" s="55"/>
      <c r="Y94" s="56"/>
      <c r="Z94" s="48">
        <v>3.3165466034522167E-3</v>
      </c>
      <c r="AA94" s="123">
        <f>SUM(AA95:AB101)</f>
        <v>295653.33999999997</v>
      </c>
      <c r="AB94" s="124"/>
    </row>
    <row r="95" spans="1:28" x14ac:dyDescent="0.25">
      <c r="A95" s="16" t="s">
        <v>84</v>
      </c>
      <c r="B95" s="51">
        <v>99303.14</v>
      </c>
      <c r="C95" s="52"/>
      <c r="D95" s="53"/>
      <c r="E95" s="91">
        <v>0</v>
      </c>
      <c r="F95" s="92"/>
      <c r="G95" s="93"/>
      <c r="H95" s="91">
        <f>280.77</f>
        <v>280.77</v>
      </c>
      <c r="I95" s="92"/>
      <c r="J95" s="93"/>
      <c r="K95" s="91">
        <f>0</f>
        <v>0</v>
      </c>
      <c r="L95" s="92"/>
      <c r="M95" s="93"/>
      <c r="N95" s="91">
        <f>0</f>
        <v>0</v>
      </c>
      <c r="O95" s="92"/>
      <c r="P95" s="93"/>
      <c r="Q95" s="91">
        <f>0</f>
        <v>0</v>
      </c>
      <c r="R95" s="92"/>
      <c r="S95" s="93"/>
      <c r="T95" s="91">
        <f>3396.84</f>
        <v>3396.84</v>
      </c>
      <c r="U95" s="92"/>
      <c r="V95" s="93"/>
      <c r="W95" s="118">
        <f t="shared" ref="W95:W101" si="60">0+E95+H95+K95+N95+Q95+T95</f>
        <v>3677.61</v>
      </c>
      <c r="X95" s="119"/>
      <c r="Y95" s="120"/>
      <c r="Z95" s="43">
        <v>0</v>
      </c>
      <c r="AA95" s="122">
        <f>99303.14+W95</f>
        <v>102980.75</v>
      </c>
      <c r="AB95" s="122"/>
    </row>
    <row r="96" spans="1:28" x14ac:dyDescent="0.25">
      <c r="A96" s="16" t="s">
        <v>85</v>
      </c>
      <c r="B96" s="51">
        <v>23237.82</v>
      </c>
      <c r="C96" s="52"/>
      <c r="D96" s="53"/>
      <c r="E96" s="91">
        <v>0</v>
      </c>
      <c r="F96" s="92"/>
      <c r="G96" s="93"/>
      <c r="H96" s="91">
        <f>826.2</f>
        <v>826.2</v>
      </c>
      <c r="I96" s="92"/>
      <c r="J96" s="93"/>
      <c r="K96" s="91">
        <f>0</f>
        <v>0</v>
      </c>
      <c r="L96" s="92"/>
      <c r="M96" s="93"/>
      <c r="N96" s="91">
        <f>0</f>
        <v>0</v>
      </c>
      <c r="O96" s="92"/>
      <c r="P96" s="93"/>
      <c r="Q96" s="91">
        <f>0</f>
        <v>0</v>
      </c>
      <c r="R96" s="92"/>
      <c r="S96" s="93"/>
      <c r="T96" s="91">
        <f>0</f>
        <v>0</v>
      </c>
      <c r="U96" s="92"/>
      <c r="V96" s="93"/>
      <c r="W96" s="118">
        <f t="shared" si="60"/>
        <v>826.2</v>
      </c>
      <c r="X96" s="119"/>
      <c r="Y96" s="120"/>
      <c r="Z96" s="43">
        <v>0</v>
      </c>
      <c r="AA96" s="125">
        <f>23237.82+W96</f>
        <v>24064.02</v>
      </c>
      <c r="AB96" s="126"/>
    </row>
    <row r="97" spans="1:28" x14ac:dyDescent="0.25">
      <c r="A97" s="16" t="s">
        <v>86</v>
      </c>
      <c r="B97" s="51">
        <v>44190.74</v>
      </c>
      <c r="C97" s="52"/>
      <c r="D97" s="53"/>
      <c r="E97" s="91">
        <v>0</v>
      </c>
      <c r="F97" s="92"/>
      <c r="G97" s="93"/>
      <c r="H97" s="91">
        <f>765.36+300.3</f>
        <v>1065.6600000000001</v>
      </c>
      <c r="I97" s="92"/>
      <c r="J97" s="93"/>
      <c r="K97" s="91">
        <f>0</f>
        <v>0</v>
      </c>
      <c r="L97" s="92"/>
      <c r="M97" s="93"/>
      <c r="N97" s="91">
        <f>0</f>
        <v>0</v>
      </c>
      <c r="O97" s="92"/>
      <c r="P97" s="93"/>
      <c r="Q97" s="91">
        <f>929.98+50.66</f>
        <v>980.64</v>
      </c>
      <c r="R97" s="92"/>
      <c r="S97" s="93"/>
      <c r="T97" s="91">
        <f>3745.74</f>
        <v>3745.74</v>
      </c>
      <c r="U97" s="92"/>
      <c r="V97" s="93"/>
      <c r="W97" s="118">
        <f t="shared" si="60"/>
        <v>5792.04</v>
      </c>
      <c r="X97" s="119"/>
      <c r="Y97" s="120"/>
      <c r="Z97" s="43">
        <v>0</v>
      </c>
      <c r="AA97" s="125">
        <f>44190.74+W97</f>
        <v>49982.78</v>
      </c>
      <c r="AB97" s="126"/>
    </row>
    <row r="98" spans="1:28" x14ac:dyDescent="0.25">
      <c r="A98" s="16" t="s">
        <v>87</v>
      </c>
      <c r="B98" s="51">
        <v>19745.099999999999</v>
      </c>
      <c r="C98" s="52"/>
      <c r="D98" s="53"/>
      <c r="E98" s="91">
        <v>0</v>
      </c>
      <c r="F98" s="92"/>
      <c r="G98" s="93"/>
      <c r="H98" s="91">
        <f>0</f>
        <v>0</v>
      </c>
      <c r="I98" s="92"/>
      <c r="J98" s="93"/>
      <c r="K98" s="91">
        <f>0</f>
        <v>0</v>
      </c>
      <c r="L98" s="92"/>
      <c r="M98" s="93"/>
      <c r="N98" s="91">
        <f>0</f>
        <v>0</v>
      </c>
      <c r="O98" s="92"/>
      <c r="P98" s="93"/>
      <c r="Q98" s="91">
        <f>0</f>
        <v>0</v>
      </c>
      <c r="R98" s="92"/>
      <c r="S98" s="93"/>
      <c r="T98" s="91">
        <f>2671.15</f>
        <v>2671.15</v>
      </c>
      <c r="U98" s="92"/>
      <c r="V98" s="93"/>
      <c r="W98" s="118">
        <f t="shared" si="60"/>
        <v>2671.15</v>
      </c>
      <c r="X98" s="119"/>
      <c r="Y98" s="120"/>
      <c r="Z98" s="43">
        <v>0</v>
      </c>
      <c r="AA98" s="125">
        <f>19745.1+W98</f>
        <v>22416.25</v>
      </c>
      <c r="AB98" s="126"/>
    </row>
    <row r="99" spans="1:28" x14ac:dyDescent="0.25">
      <c r="A99" s="16" t="s">
        <v>88</v>
      </c>
      <c r="B99" s="51">
        <v>20266.849999999999</v>
      </c>
      <c r="C99" s="52"/>
      <c r="D99" s="53"/>
      <c r="E99" s="91">
        <v>89.96</v>
      </c>
      <c r="F99" s="92"/>
      <c r="G99" s="93"/>
      <c r="H99" s="91">
        <f>0</f>
        <v>0</v>
      </c>
      <c r="I99" s="92"/>
      <c r="J99" s="93"/>
      <c r="K99" s="91">
        <f>0</f>
        <v>0</v>
      </c>
      <c r="L99" s="92"/>
      <c r="M99" s="93"/>
      <c r="N99" s="91">
        <f>0</f>
        <v>0</v>
      </c>
      <c r="O99" s="92"/>
      <c r="P99" s="93"/>
      <c r="Q99" s="91">
        <f>0</f>
        <v>0</v>
      </c>
      <c r="R99" s="92"/>
      <c r="S99" s="93"/>
      <c r="T99" s="91">
        <f>0</f>
        <v>0</v>
      </c>
      <c r="U99" s="92"/>
      <c r="V99" s="93"/>
      <c r="W99" s="118">
        <f t="shared" si="60"/>
        <v>89.96</v>
      </c>
      <c r="X99" s="119"/>
      <c r="Y99" s="120"/>
      <c r="Z99" s="43">
        <v>3.3165466034522167E-3</v>
      </c>
      <c r="AA99" s="125">
        <f>20266.85+W99</f>
        <v>20356.809999999998</v>
      </c>
      <c r="AB99" s="126"/>
    </row>
    <row r="100" spans="1:28" x14ac:dyDescent="0.25">
      <c r="A100" s="16" t="s">
        <v>89</v>
      </c>
      <c r="B100" s="51">
        <v>31093.99</v>
      </c>
      <c r="C100" s="52"/>
      <c r="D100" s="53"/>
      <c r="E100" s="91">
        <v>0</v>
      </c>
      <c r="F100" s="92"/>
      <c r="G100" s="93"/>
      <c r="H100" s="91">
        <f>0</f>
        <v>0</v>
      </c>
      <c r="I100" s="92"/>
      <c r="J100" s="93"/>
      <c r="K100" s="91">
        <f>0</f>
        <v>0</v>
      </c>
      <c r="L100" s="92"/>
      <c r="M100" s="93"/>
      <c r="N100" s="91">
        <f>0</f>
        <v>0</v>
      </c>
      <c r="O100" s="92"/>
      <c r="P100" s="93"/>
      <c r="Q100" s="91">
        <f>0</f>
        <v>0</v>
      </c>
      <c r="R100" s="92"/>
      <c r="S100" s="93"/>
      <c r="T100" s="91">
        <f>3871.99</f>
        <v>3871.99</v>
      </c>
      <c r="U100" s="92"/>
      <c r="V100" s="93"/>
      <c r="W100" s="118">
        <f t="shared" si="60"/>
        <v>3871.99</v>
      </c>
      <c r="X100" s="119"/>
      <c r="Y100" s="120"/>
      <c r="Z100" s="43">
        <v>0</v>
      </c>
      <c r="AA100" s="125">
        <f>31093.99+W100</f>
        <v>34965.980000000003</v>
      </c>
      <c r="AB100" s="126"/>
    </row>
    <row r="101" spans="1:28" x14ac:dyDescent="0.25">
      <c r="A101" s="16" t="s">
        <v>90</v>
      </c>
      <c r="B101" s="51">
        <v>40886.75</v>
      </c>
      <c r="C101" s="52"/>
      <c r="D101" s="53"/>
      <c r="E101" s="91">
        <v>0</v>
      </c>
      <c r="F101" s="92"/>
      <c r="G101" s="93"/>
      <c r="H101" s="91">
        <f>0</f>
        <v>0</v>
      </c>
      <c r="I101" s="92"/>
      <c r="J101" s="93"/>
      <c r="K101" s="91">
        <f>0</f>
        <v>0</v>
      </c>
      <c r="L101" s="92"/>
      <c r="M101" s="93"/>
      <c r="N101" s="91">
        <f>0</f>
        <v>0</v>
      </c>
      <c r="O101" s="92"/>
      <c r="P101" s="93"/>
      <c r="Q101" s="91">
        <f>0</f>
        <v>0</v>
      </c>
      <c r="R101" s="92"/>
      <c r="S101" s="93"/>
      <c r="T101" s="91">
        <f>0</f>
        <v>0</v>
      </c>
      <c r="U101" s="92"/>
      <c r="V101" s="93"/>
      <c r="W101" s="118">
        <f t="shared" si="60"/>
        <v>0</v>
      </c>
      <c r="X101" s="119"/>
      <c r="Y101" s="120"/>
      <c r="Z101" s="43">
        <v>0</v>
      </c>
      <c r="AA101" s="125">
        <f>40886.75+W101</f>
        <v>40886.75</v>
      </c>
      <c r="AB101" s="126"/>
    </row>
    <row r="102" spans="1:28" x14ac:dyDescent="0.25">
      <c r="A102" s="17" t="s">
        <v>91</v>
      </c>
      <c r="B102" s="75">
        <f>B33+B42+B46+B50+B64+B69+B84+B89+B94</f>
        <v>4141891.3000000003</v>
      </c>
      <c r="C102" s="76"/>
      <c r="D102" s="77"/>
      <c r="E102" s="112">
        <f>E33+E42+E46+E50+E64+E69+E84+E89+E94</f>
        <v>27124.6</v>
      </c>
      <c r="F102" s="113"/>
      <c r="G102" s="114"/>
      <c r="H102" s="112">
        <f t="shared" ref="H102" si="61">H33+H42+H46+H50+H64+H69+H84+H89+H94</f>
        <v>48952.85</v>
      </c>
      <c r="I102" s="113"/>
      <c r="J102" s="114"/>
      <c r="K102" s="112">
        <f t="shared" ref="K102" si="62">K33+K42+K46+K50+K64+K69+K84+K89+K94</f>
        <v>29549.200000000004</v>
      </c>
      <c r="L102" s="113"/>
      <c r="M102" s="114"/>
      <c r="N102" s="112">
        <f t="shared" ref="N102" si="63">N33+N42+N46+N50+N64+N69+N84+N89+N94</f>
        <v>41782.25</v>
      </c>
      <c r="O102" s="113"/>
      <c r="P102" s="114"/>
      <c r="Q102" s="112">
        <f t="shared" ref="Q102" si="64">Q33+Q42+Q46+Q50+Q64+Q69+Q84+Q89+Q94</f>
        <v>48882.81</v>
      </c>
      <c r="R102" s="113"/>
      <c r="S102" s="114"/>
      <c r="T102" s="112">
        <f t="shared" ref="T102" si="65">T33+T42+T46+T50+T64+T69+T84+T89+T94</f>
        <v>73858.459999999992</v>
      </c>
      <c r="U102" s="113"/>
      <c r="V102" s="114"/>
      <c r="W102" s="112">
        <f>W94+W89+W84+W69+W64+W50+W46+W42+W33</f>
        <v>270150.17</v>
      </c>
      <c r="X102" s="113"/>
      <c r="Y102" s="114"/>
      <c r="Z102" s="47">
        <v>1</v>
      </c>
      <c r="AA102" s="133">
        <f>AA33+AA42+AA46+AA50+AA64+AA69+AA84+AA89+AA94</f>
        <v>4412041.47</v>
      </c>
      <c r="AB102" s="134"/>
    </row>
    <row r="103" spans="1:28" x14ac:dyDescent="0.25">
      <c r="A103" s="18" t="s">
        <v>92</v>
      </c>
      <c r="B103" s="78">
        <v>4776783.2000000011</v>
      </c>
      <c r="C103" s="79"/>
      <c r="D103" s="80"/>
      <c r="E103" s="115">
        <f>G27-E102</f>
        <v>8160.9600000000064</v>
      </c>
      <c r="F103" s="116"/>
      <c r="G103" s="117"/>
      <c r="H103" s="115">
        <f t="shared" ref="H103" si="66">J27-H102</f>
        <v>199927.02</v>
      </c>
      <c r="I103" s="116"/>
      <c r="J103" s="117"/>
      <c r="K103" s="115">
        <f t="shared" ref="K103" si="67">M27-K102</f>
        <v>9781.36</v>
      </c>
      <c r="L103" s="116"/>
      <c r="M103" s="117"/>
      <c r="N103" s="115">
        <f t="shared" ref="N103" si="68">P27-N102</f>
        <v>211902.93</v>
      </c>
      <c r="O103" s="116"/>
      <c r="P103" s="117"/>
      <c r="Q103" s="115">
        <f t="shared" ref="Q103" si="69">S27-Q102</f>
        <v>-5844.7299999999959</v>
      </c>
      <c r="R103" s="116"/>
      <c r="S103" s="117"/>
      <c r="T103" s="115">
        <f t="shared" ref="T103" si="70">V27-T102</f>
        <v>187644.67</v>
      </c>
      <c r="U103" s="116"/>
      <c r="V103" s="117"/>
      <c r="W103" s="121">
        <v>8160.9600000000064</v>
      </c>
      <c r="X103" s="121"/>
      <c r="Y103" s="121"/>
      <c r="Z103" s="135">
        <f>AB27-AA102</f>
        <v>3951896.120000001</v>
      </c>
      <c r="AA103" s="136"/>
      <c r="AB103" s="136"/>
    </row>
    <row r="104" spans="1:28" x14ac:dyDescent="0.25">
      <c r="A104" s="19" t="s">
        <v>93</v>
      </c>
      <c r="B104" s="81">
        <f>D27-B102</f>
        <v>3340323.9100000006</v>
      </c>
      <c r="C104" s="81"/>
      <c r="D104" s="81"/>
    </row>
    <row r="107" spans="1:28" x14ac:dyDescent="0.25">
      <c r="A107" s="20" t="s">
        <v>94</v>
      </c>
      <c r="B107" s="82" t="s">
        <v>1</v>
      </c>
      <c r="C107" s="82"/>
      <c r="D107" s="82"/>
      <c r="E107" s="82" t="s">
        <v>2</v>
      </c>
      <c r="F107" s="82"/>
      <c r="G107" s="82"/>
      <c r="H107" s="82" t="s">
        <v>103</v>
      </c>
      <c r="I107" s="82"/>
      <c r="J107" s="82"/>
      <c r="K107" s="82" t="s">
        <v>104</v>
      </c>
      <c r="L107" s="82"/>
      <c r="M107" s="82"/>
      <c r="N107" s="82" t="s">
        <v>105</v>
      </c>
      <c r="O107" s="82"/>
      <c r="P107" s="82"/>
      <c r="Q107" s="82" t="s">
        <v>106</v>
      </c>
      <c r="R107" s="82"/>
      <c r="S107" s="82"/>
      <c r="T107" s="82" t="s">
        <v>107</v>
      </c>
      <c r="U107" s="82"/>
      <c r="V107" s="82"/>
      <c r="X107" s="50"/>
    </row>
    <row r="108" spans="1:28" x14ac:dyDescent="0.25">
      <c r="A108" s="21" t="s">
        <v>95</v>
      </c>
      <c r="B108" s="65">
        <v>80211.39</v>
      </c>
      <c r="C108" s="65"/>
      <c r="D108" s="65"/>
      <c r="E108" s="65">
        <f>B108-26140.01-107.08+34000+1014.33</f>
        <v>88978.63</v>
      </c>
      <c r="F108" s="65"/>
      <c r="G108" s="65"/>
      <c r="H108" s="65">
        <f>E108-44590.67-297.12+626.93</f>
        <v>44717.770000000004</v>
      </c>
      <c r="I108" s="65"/>
      <c r="J108" s="65"/>
      <c r="K108" s="65">
        <f>H108-27911.38-172.96+301.06</f>
        <v>16934.490000000005</v>
      </c>
      <c r="L108" s="65"/>
      <c r="M108" s="65"/>
      <c r="N108" s="65">
        <f>K108-16637.99-114.1+25.75</f>
        <v>208.15000000000364</v>
      </c>
      <c r="O108" s="65"/>
      <c r="P108" s="65"/>
      <c r="Q108" s="65">
        <f>N108-9398.89-90.71-20.38+90000+751.28</f>
        <v>81449.450000000012</v>
      </c>
      <c r="R108" s="65"/>
      <c r="S108" s="65"/>
      <c r="T108" s="65">
        <f>Q108-36637.69-55.08-13.98+578.29</f>
        <v>45320.990000000005</v>
      </c>
      <c r="U108" s="65"/>
      <c r="V108" s="65"/>
    </row>
    <row r="109" spans="1:28" x14ac:dyDescent="0.25">
      <c r="A109" s="21" t="s">
        <v>96</v>
      </c>
      <c r="B109" s="65">
        <v>1937613.78</v>
      </c>
      <c r="C109" s="65"/>
      <c r="D109" s="65"/>
      <c r="E109" s="65">
        <f>B109+100000+21945.97</f>
        <v>2059559.75</v>
      </c>
      <c r="F109" s="65"/>
      <c r="G109" s="65"/>
      <c r="H109" s="65">
        <f>E109+220000+15701.77</f>
        <v>2295261.52</v>
      </c>
      <c r="I109" s="65"/>
      <c r="J109" s="65"/>
      <c r="K109" s="65">
        <f>H109+25927.88</f>
        <v>2321189.4</v>
      </c>
      <c r="L109" s="65"/>
      <c r="M109" s="65"/>
      <c r="N109" s="65">
        <f>K109-10000-68.27+21633.69</f>
        <v>2332754.8199999998</v>
      </c>
      <c r="O109" s="65"/>
      <c r="P109" s="65"/>
      <c r="Q109" s="65">
        <f>N109-20309.92+100000+28535.9</f>
        <v>2440980.7999999998</v>
      </c>
      <c r="R109" s="65"/>
      <c r="S109" s="65"/>
      <c r="T109" s="65">
        <f>Q109+170000+27434.12</f>
        <v>2638414.92</v>
      </c>
      <c r="U109" s="65"/>
      <c r="V109" s="65"/>
    </row>
    <row r="110" spans="1:28" x14ac:dyDescent="0.25">
      <c r="A110" s="21" t="s">
        <v>97</v>
      </c>
      <c r="B110" s="65">
        <v>1187298.79</v>
      </c>
      <c r="C110" s="65"/>
      <c r="D110" s="65"/>
      <c r="E110" s="65">
        <f>B110+11125.26</f>
        <v>1198424.05</v>
      </c>
      <c r="F110" s="65"/>
      <c r="G110" s="65"/>
      <c r="H110" s="65">
        <f>E110+9191.17</f>
        <v>1207615.22</v>
      </c>
      <c r="I110" s="65"/>
      <c r="J110" s="65"/>
      <c r="K110" s="65">
        <f>H110+11861.62</f>
        <v>1219476.8400000001</v>
      </c>
      <c r="L110" s="65"/>
      <c r="M110" s="65"/>
      <c r="N110" s="65">
        <f>K110+9375.74</f>
        <v>1228852.58</v>
      </c>
      <c r="O110" s="65"/>
      <c r="P110" s="65"/>
      <c r="Q110" s="65">
        <f>N110+11570.9</f>
        <v>1240423.48</v>
      </c>
      <c r="R110" s="65"/>
      <c r="S110" s="65"/>
      <c r="T110" s="65">
        <f>Q110+11160.72</f>
        <v>1251584.2</v>
      </c>
      <c r="U110" s="65"/>
      <c r="V110" s="65"/>
    </row>
    <row r="111" spans="1:28" x14ac:dyDescent="0.25">
      <c r="A111" s="22" t="s">
        <v>98</v>
      </c>
      <c r="B111" s="109">
        <v>3205123.96</v>
      </c>
      <c r="C111" s="109"/>
      <c r="D111" s="109"/>
      <c r="E111" s="109">
        <f>SUM(E108:G110)</f>
        <v>3346962.4299999997</v>
      </c>
      <c r="F111" s="109"/>
      <c r="G111" s="109"/>
      <c r="H111" s="109">
        <f t="shared" ref="H111" si="71">SUM(H108:J110)</f>
        <v>3547594.51</v>
      </c>
      <c r="I111" s="109"/>
      <c r="J111" s="109"/>
      <c r="K111" s="109">
        <f t="shared" ref="K111" si="72">SUM(K108:M110)</f>
        <v>3557600.7300000004</v>
      </c>
      <c r="L111" s="109"/>
      <c r="M111" s="109"/>
      <c r="N111" s="109">
        <f t="shared" ref="N111" si="73">SUM(N108:P110)</f>
        <v>3561815.55</v>
      </c>
      <c r="O111" s="109"/>
      <c r="P111" s="109"/>
      <c r="Q111" s="109">
        <f t="shared" ref="Q111" si="74">SUM(Q108:S110)</f>
        <v>3762853.73</v>
      </c>
      <c r="R111" s="109"/>
      <c r="S111" s="109"/>
      <c r="T111" s="109">
        <f t="shared" ref="T111" si="75">SUM(T108:V110)</f>
        <v>3935320.1100000003</v>
      </c>
      <c r="U111" s="109"/>
      <c r="V111" s="109"/>
    </row>
    <row r="112" spans="1:28" x14ac:dyDescent="0.25">
      <c r="A112" s="23" t="s">
        <v>99</v>
      </c>
    </row>
    <row r="113" spans="1:1" x14ac:dyDescent="0.25">
      <c r="A113" s="24" t="s">
        <v>100</v>
      </c>
    </row>
    <row r="114" spans="1:1" x14ac:dyDescent="0.25">
      <c r="A114" s="24" t="s">
        <v>101</v>
      </c>
    </row>
    <row r="115" spans="1:1" x14ac:dyDescent="0.25">
      <c r="A115" s="25" t="s">
        <v>102</v>
      </c>
    </row>
  </sheetData>
  <sheetProtection algorithmName="SHA-512" hashValue="SiDeTP8DL+lPwslSrxtGxsxxO5KxMZnAqegrZRoDy1krG7Rfo4oGRX05c+e4fZHpiWF8BzLLrvuLQ/7AKvCCDQ==" saltValue="nSmcbC4o9iyjTOqW0eSV5Q==" spinCount="100000" sheet="1" objects="1" scenarios="1"/>
  <mergeCells count="784">
    <mergeCell ref="T108:V108"/>
    <mergeCell ref="T109:V109"/>
    <mergeCell ref="T110:V110"/>
    <mergeCell ref="T111:V111"/>
    <mergeCell ref="T100:V100"/>
    <mergeCell ref="T101:V101"/>
    <mergeCell ref="T102:V102"/>
    <mergeCell ref="T103:V103"/>
    <mergeCell ref="T107:V107"/>
    <mergeCell ref="T87:V87"/>
    <mergeCell ref="T88:V88"/>
    <mergeCell ref="T89:V89"/>
    <mergeCell ref="T90:V90"/>
    <mergeCell ref="T91:V91"/>
    <mergeCell ref="T92:V92"/>
    <mergeCell ref="T93:V93"/>
    <mergeCell ref="T94:V94"/>
    <mergeCell ref="T95:V95"/>
    <mergeCell ref="T55:V55"/>
    <mergeCell ref="T56:V56"/>
    <mergeCell ref="T57:V57"/>
    <mergeCell ref="T58:V58"/>
    <mergeCell ref="T59:V59"/>
    <mergeCell ref="T96:V96"/>
    <mergeCell ref="T97:V97"/>
    <mergeCell ref="T98:V98"/>
    <mergeCell ref="T99:V99"/>
    <mergeCell ref="T78:V78"/>
    <mergeCell ref="T79:V79"/>
    <mergeCell ref="T80:V80"/>
    <mergeCell ref="T81:V81"/>
    <mergeCell ref="T82:V82"/>
    <mergeCell ref="T83:V83"/>
    <mergeCell ref="T84:V84"/>
    <mergeCell ref="T85:V85"/>
    <mergeCell ref="T86:V86"/>
    <mergeCell ref="T69:V69"/>
    <mergeCell ref="T70:V70"/>
    <mergeCell ref="T71:V71"/>
    <mergeCell ref="T72:V72"/>
    <mergeCell ref="Q110:S110"/>
    <mergeCell ref="Q111:S111"/>
    <mergeCell ref="T11:V11"/>
    <mergeCell ref="T12:V12"/>
    <mergeCell ref="T13:V13"/>
    <mergeCell ref="T14:V14"/>
    <mergeCell ref="T15:V15"/>
    <mergeCell ref="T16:V16"/>
    <mergeCell ref="T17:V17"/>
    <mergeCell ref="T18:V18"/>
    <mergeCell ref="T21:V21"/>
    <mergeCell ref="T27:U27"/>
    <mergeCell ref="T32:V32"/>
    <mergeCell ref="T33:V33"/>
    <mergeCell ref="T34:V34"/>
    <mergeCell ref="T35:V35"/>
    <mergeCell ref="T36:V36"/>
    <mergeCell ref="T37:V37"/>
    <mergeCell ref="T38:V38"/>
    <mergeCell ref="T39:V39"/>
    <mergeCell ref="T40:V40"/>
    <mergeCell ref="T73:V73"/>
    <mergeCell ref="T74:V74"/>
    <mergeCell ref="T75:V75"/>
    <mergeCell ref="T44:V44"/>
    <mergeCell ref="T45:V45"/>
    <mergeCell ref="T46:V46"/>
    <mergeCell ref="T47:V47"/>
    <mergeCell ref="T48:V48"/>
    <mergeCell ref="T49:V49"/>
    <mergeCell ref="T50:V50"/>
    <mergeCell ref="Q108:S108"/>
    <mergeCell ref="Q109:S109"/>
    <mergeCell ref="T76:V76"/>
    <mergeCell ref="T77:V77"/>
    <mergeCell ref="T60:V60"/>
    <mergeCell ref="T61:V61"/>
    <mergeCell ref="T62:V62"/>
    <mergeCell ref="T63:V63"/>
    <mergeCell ref="T64:V64"/>
    <mergeCell ref="T65:V65"/>
    <mergeCell ref="T66:V66"/>
    <mergeCell ref="T67:V67"/>
    <mergeCell ref="T68:V68"/>
    <mergeCell ref="T51:V51"/>
    <mergeCell ref="T52:V52"/>
    <mergeCell ref="T53:V53"/>
    <mergeCell ref="T54:V54"/>
    <mergeCell ref="Q99:S99"/>
    <mergeCell ref="Q100:S100"/>
    <mergeCell ref="Q101:S101"/>
    <mergeCell ref="Q102:S102"/>
    <mergeCell ref="Q103:S103"/>
    <mergeCell ref="Q107:S107"/>
    <mergeCell ref="Q87:S87"/>
    <mergeCell ref="Q88:S88"/>
    <mergeCell ref="Q89:S89"/>
    <mergeCell ref="Q90:S90"/>
    <mergeCell ref="Q91:S91"/>
    <mergeCell ref="Q92:S92"/>
    <mergeCell ref="Q93:S93"/>
    <mergeCell ref="Q94:S94"/>
    <mergeCell ref="Q95:S95"/>
    <mergeCell ref="Q55:S55"/>
    <mergeCell ref="Q56:S56"/>
    <mergeCell ref="Q57:S57"/>
    <mergeCell ref="Q58:S58"/>
    <mergeCell ref="Q59:S59"/>
    <mergeCell ref="T41:V41"/>
    <mergeCell ref="Q96:S96"/>
    <mergeCell ref="Q97:S97"/>
    <mergeCell ref="Q98:S98"/>
    <mergeCell ref="Q78:S78"/>
    <mergeCell ref="Q79:S79"/>
    <mergeCell ref="Q80:S80"/>
    <mergeCell ref="Q81:S81"/>
    <mergeCell ref="Q82:S82"/>
    <mergeCell ref="Q83:S83"/>
    <mergeCell ref="Q84:S84"/>
    <mergeCell ref="Q85:S85"/>
    <mergeCell ref="Q86:S86"/>
    <mergeCell ref="Q69:S69"/>
    <mergeCell ref="Q70:S70"/>
    <mergeCell ref="Q71:S71"/>
    <mergeCell ref="Q72:S72"/>
    <mergeCell ref="T42:V42"/>
    <mergeCell ref="T43:V43"/>
    <mergeCell ref="N110:P110"/>
    <mergeCell ref="N111:P111"/>
    <mergeCell ref="Q11:S11"/>
    <mergeCell ref="Q12:S12"/>
    <mergeCell ref="Q13:S13"/>
    <mergeCell ref="Q14:S14"/>
    <mergeCell ref="Q15:S15"/>
    <mergeCell ref="Q16:S16"/>
    <mergeCell ref="Q17:S17"/>
    <mergeCell ref="Q18:S18"/>
    <mergeCell ref="Q21:S21"/>
    <mergeCell ref="Q27:R27"/>
    <mergeCell ref="Q32:S32"/>
    <mergeCell ref="Q33:S33"/>
    <mergeCell ref="Q34:S34"/>
    <mergeCell ref="Q35:S35"/>
    <mergeCell ref="Q36:S36"/>
    <mergeCell ref="Q37:S37"/>
    <mergeCell ref="Q38:S38"/>
    <mergeCell ref="Q39:S39"/>
    <mergeCell ref="Q40:S40"/>
    <mergeCell ref="Q73:S73"/>
    <mergeCell ref="Q74:S74"/>
    <mergeCell ref="Q75:S75"/>
    <mergeCell ref="Q44:S44"/>
    <mergeCell ref="Q45:S45"/>
    <mergeCell ref="Q46:S46"/>
    <mergeCell ref="Q47:S47"/>
    <mergeCell ref="Q48:S48"/>
    <mergeCell ref="Q49:S49"/>
    <mergeCell ref="Q50:S50"/>
    <mergeCell ref="N108:P108"/>
    <mergeCell ref="N109:P109"/>
    <mergeCell ref="Q76:S76"/>
    <mergeCell ref="Q77:S77"/>
    <mergeCell ref="Q60:S60"/>
    <mergeCell ref="Q61:S61"/>
    <mergeCell ref="Q62:S62"/>
    <mergeCell ref="Q63:S63"/>
    <mergeCell ref="Q64:S64"/>
    <mergeCell ref="Q65:S65"/>
    <mergeCell ref="Q66:S66"/>
    <mergeCell ref="Q67:S67"/>
    <mergeCell ref="Q68:S68"/>
    <mergeCell ref="Q51:S51"/>
    <mergeCell ref="Q52:S52"/>
    <mergeCell ref="Q53:S53"/>
    <mergeCell ref="Q54:S54"/>
    <mergeCell ref="N99:P99"/>
    <mergeCell ref="N100:P100"/>
    <mergeCell ref="N101:P101"/>
    <mergeCell ref="N102:P102"/>
    <mergeCell ref="N103:P103"/>
    <mergeCell ref="N107:P107"/>
    <mergeCell ref="N87:P87"/>
    <mergeCell ref="N88:P88"/>
    <mergeCell ref="N89:P89"/>
    <mergeCell ref="N90:P90"/>
    <mergeCell ref="N91:P91"/>
    <mergeCell ref="N92:P92"/>
    <mergeCell ref="N93:P93"/>
    <mergeCell ref="N94:P94"/>
    <mergeCell ref="N95:P95"/>
    <mergeCell ref="N55:P55"/>
    <mergeCell ref="N56:P56"/>
    <mergeCell ref="N57:P57"/>
    <mergeCell ref="N58:P58"/>
    <mergeCell ref="N59:P59"/>
    <mergeCell ref="Q41:S41"/>
    <mergeCell ref="N96:P96"/>
    <mergeCell ref="N97:P97"/>
    <mergeCell ref="N98:P98"/>
    <mergeCell ref="N78:P78"/>
    <mergeCell ref="N79:P79"/>
    <mergeCell ref="N80:P80"/>
    <mergeCell ref="N81:P81"/>
    <mergeCell ref="N82:P82"/>
    <mergeCell ref="N83:P83"/>
    <mergeCell ref="N84:P84"/>
    <mergeCell ref="N85:P85"/>
    <mergeCell ref="N86:P86"/>
    <mergeCell ref="N69:P69"/>
    <mergeCell ref="N70:P70"/>
    <mergeCell ref="N71:P71"/>
    <mergeCell ref="N72:P72"/>
    <mergeCell ref="Q42:S42"/>
    <mergeCell ref="Q43:S43"/>
    <mergeCell ref="K110:M110"/>
    <mergeCell ref="K111:M111"/>
    <mergeCell ref="N11:P11"/>
    <mergeCell ref="N12:P12"/>
    <mergeCell ref="N13:P13"/>
    <mergeCell ref="N14:P14"/>
    <mergeCell ref="N15:P15"/>
    <mergeCell ref="N16:P16"/>
    <mergeCell ref="N17:P17"/>
    <mergeCell ref="N18:P18"/>
    <mergeCell ref="N21:P21"/>
    <mergeCell ref="N27:O27"/>
    <mergeCell ref="N32:P32"/>
    <mergeCell ref="N33:P33"/>
    <mergeCell ref="N34:P34"/>
    <mergeCell ref="N35:P35"/>
    <mergeCell ref="N36:P36"/>
    <mergeCell ref="N37:P37"/>
    <mergeCell ref="N38:P38"/>
    <mergeCell ref="N39:P39"/>
    <mergeCell ref="N40:P40"/>
    <mergeCell ref="N73:P73"/>
    <mergeCell ref="N74:P74"/>
    <mergeCell ref="N75:P75"/>
    <mergeCell ref="N44:P44"/>
    <mergeCell ref="N45:P45"/>
    <mergeCell ref="N46:P46"/>
    <mergeCell ref="N47:P47"/>
    <mergeCell ref="N48:P48"/>
    <mergeCell ref="N49:P49"/>
    <mergeCell ref="N50:P50"/>
    <mergeCell ref="K108:M108"/>
    <mergeCell ref="K109:M109"/>
    <mergeCell ref="N76:P76"/>
    <mergeCell ref="N77:P77"/>
    <mergeCell ref="N60:P60"/>
    <mergeCell ref="N61:P61"/>
    <mergeCell ref="N62:P62"/>
    <mergeCell ref="N63:P63"/>
    <mergeCell ref="N64:P64"/>
    <mergeCell ref="N65:P65"/>
    <mergeCell ref="N66:P66"/>
    <mergeCell ref="N67:P67"/>
    <mergeCell ref="N68:P68"/>
    <mergeCell ref="N51:P51"/>
    <mergeCell ref="N52:P52"/>
    <mergeCell ref="N53:P53"/>
    <mergeCell ref="N54:P54"/>
    <mergeCell ref="K99:M99"/>
    <mergeCell ref="K100:M100"/>
    <mergeCell ref="K101:M101"/>
    <mergeCell ref="K102:M102"/>
    <mergeCell ref="K103:M103"/>
    <mergeCell ref="K107:M107"/>
    <mergeCell ref="K87:M87"/>
    <mergeCell ref="K88:M88"/>
    <mergeCell ref="K89:M89"/>
    <mergeCell ref="K90:M90"/>
    <mergeCell ref="K91:M91"/>
    <mergeCell ref="K92:M92"/>
    <mergeCell ref="K93:M93"/>
    <mergeCell ref="K94:M94"/>
    <mergeCell ref="K95:M95"/>
    <mergeCell ref="K55:M55"/>
    <mergeCell ref="K56:M56"/>
    <mergeCell ref="K57:M57"/>
    <mergeCell ref="K58:M58"/>
    <mergeCell ref="K59:M59"/>
    <mergeCell ref="N41:P41"/>
    <mergeCell ref="K96:M96"/>
    <mergeCell ref="K97:M97"/>
    <mergeCell ref="K98:M98"/>
    <mergeCell ref="K78:M78"/>
    <mergeCell ref="K79:M79"/>
    <mergeCell ref="K80:M80"/>
    <mergeCell ref="K81:M81"/>
    <mergeCell ref="K82:M82"/>
    <mergeCell ref="K83:M83"/>
    <mergeCell ref="K84:M84"/>
    <mergeCell ref="K85:M85"/>
    <mergeCell ref="K86:M86"/>
    <mergeCell ref="K69:M69"/>
    <mergeCell ref="K70:M70"/>
    <mergeCell ref="K71:M71"/>
    <mergeCell ref="K72:M72"/>
    <mergeCell ref="N42:P42"/>
    <mergeCell ref="N43:P43"/>
    <mergeCell ref="H110:J110"/>
    <mergeCell ref="H111:J111"/>
    <mergeCell ref="K11:M11"/>
    <mergeCell ref="K12:M12"/>
    <mergeCell ref="K13:M13"/>
    <mergeCell ref="K14:M14"/>
    <mergeCell ref="K15:M15"/>
    <mergeCell ref="K16:M16"/>
    <mergeCell ref="K17:M17"/>
    <mergeCell ref="K18:M18"/>
    <mergeCell ref="K21:M21"/>
    <mergeCell ref="K27:L27"/>
    <mergeCell ref="K32:M32"/>
    <mergeCell ref="K33:M33"/>
    <mergeCell ref="K34:M34"/>
    <mergeCell ref="K35:M35"/>
    <mergeCell ref="K36:M36"/>
    <mergeCell ref="K37:M37"/>
    <mergeCell ref="K38:M38"/>
    <mergeCell ref="K39:M39"/>
    <mergeCell ref="K40:M40"/>
    <mergeCell ref="K73:M73"/>
    <mergeCell ref="K74:M74"/>
    <mergeCell ref="K75:M75"/>
    <mergeCell ref="K44:M44"/>
    <mergeCell ref="K45:M45"/>
    <mergeCell ref="K46:M46"/>
    <mergeCell ref="K47:M47"/>
    <mergeCell ref="K48:M48"/>
    <mergeCell ref="K49:M49"/>
    <mergeCell ref="K50:M50"/>
    <mergeCell ref="H108:J108"/>
    <mergeCell ref="H109:J109"/>
    <mergeCell ref="K76:M76"/>
    <mergeCell ref="K77:M77"/>
    <mergeCell ref="K60:M60"/>
    <mergeCell ref="K61:M61"/>
    <mergeCell ref="K62:M62"/>
    <mergeCell ref="K63:M63"/>
    <mergeCell ref="K64:M64"/>
    <mergeCell ref="K65:M65"/>
    <mergeCell ref="K66:M66"/>
    <mergeCell ref="K67:M67"/>
    <mergeCell ref="K68:M68"/>
    <mergeCell ref="K51:M51"/>
    <mergeCell ref="K52:M52"/>
    <mergeCell ref="K53:M53"/>
    <mergeCell ref="K54:M54"/>
    <mergeCell ref="H107:J107"/>
    <mergeCell ref="H87:J87"/>
    <mergeCell ref="H88:J88"/>
    <mergeCell ref="H89:J89"/>
    <mergeCell ref="H90:J90"/>
    <mergeCell ref="H91:J91"/>
    <mergeCell ref="H92:J92"/>
    <mergeCell ref="H93:J93"/>
    <mergeCell ref="H94:J94"/>
    <mergeCell ref="H95:J95"/>
    <mergeCell ref="K41:M41"/>
    <mergeCell ref="H96:J96"/>
    <mergeCell ref="H97:J97"/>
    <mergeCell ref="H98:J98"/>
    <mergeCell ref="H99:J99"/>
    <mergeCell ref="H100:J100"/>
    <mergeCell ref="H101:J101"/>
    <mergeCell ref="H102:J102"/>
    <mergeCell ref="H103:J103"/>
    <mergeCell ref="H78:J78"/>
    <mergeCell ref="H79:J79"/>
    <mergeCell ref="H80:J80"/>
    <mergeCell ref="H81:J81"/>
    <mergeCell ref="H82:J82"/>
    <mergeCell ref="H83:J83"/>
    <mergeCell ref="H84:J84"/>
    <mergeCell ref="H85:J85"/>
    <mergeCell ref="H86:J86"/>
    <mergeCell ref="H69:J69"/>
    <mergeCell ref="H70:J70"/>
    <mergeCell ref="H71:J71"/>
    <mergeCell ref="H72:J72"/>
    <mergeCell ref="K42:M42"/>
    <mergeCell ref="K43:M43"/>
    <mergeCell ref="H51:J51"/>
    <mergeCell ref="H52:J52"/>
    <mergeCell ref="H53:J53"/>
    <mergeCell ref="H54:J54"/>
    <mergeCell ref="H55:J55"/>
    <mergeCell ref="H56:J56"/>
    <mergeCell ref="H57:J57"/>
    <mergeCell ref="H58:J58"/>
    <mergeCell ref="H59:J59"/>
    <mergeCell ref="H73:J73"/>
    <mergeCell ref="H74:J74"/>
    <mergeCell ref="H75:J75"/>
    <mergeCell ref="H76:J76"/>
    <mergeCell ref="H77:J77"/>
    <mergeCell ref="H60:J60"/>
    <mergeCell ref="H61:J61"/>
    <mergeCell ref="H62:J62"/>
    <mergeCell ref="H63:J63"/>
    <mergeCell ref="H64:J64"/>
    <mergeCell ref="H65:J65"/>
    <mergeCell ref="H66:J66"/>
    <mergeCell ref="H67:J67"/>
    <mergeCell ref="H68:J68"/>
    <mergeCell ref="H50:J50"/>
    <mergeCell ref="H33:J33"/>
    <mergeCell ref="H34:J34"/>
    <mergeCell ref="H35:J35"/>
    <mergeCell ref="H36:J36"/>
    <mergeCell ref="H37:J37"/>
    <mergeCell ref="H38:J38"/>
    <mergeCell ref="H39:J39"/>
    <mergeCell ref="H40:J40"/>
    <mergeCell ref="H41:J41"/>
    <mergeCell ref="H11:J11"/>
    <mergeCell ref="H42:J42"/>
    <mergeCell ref="H43:J43"/>
    <mergeCell ref="H44:J44"/>
    <mergeCell ref="H45:J45"/>
    <mergeCell ref="H46:J46"/>
    <mergeCell ref="H47:J47"/>
    <mergeCell ref="H48:J48"/>
    <mergeCell ref="H49:J49"/>
    <mergeCell ref="H21:J21"/>
    <mergeCell ref="H27:I27"/>
    <mergeCell ref="H32:J32"/>
    <mergeCell ref="A9:AB9"/>
    <mergeCell ref="A30:AB30"/>
    <mergeCell ref="Z13:AB13"/>
    <mergeCell ref="Z14:AB14"/>
    <mergeCell ref="AA100:AB100"/>
    <mergeCell ref="AA101:AB101"/>
    <mergeCell ref="AA65:AB65"/>
    <mergeCell ref="AA66:AB66"/>
    <mergeCell ref="AA67:AB67"/>
    <mergeCell ref="AA68:AB68"/>
    <mergeCell ref="AA69:AB69"/>
    <mergeCell ref="AA60:AB60"/>
    <mergeCell ref="AA64:AB64"/>
    <mergeCell ref="AA55:AB55"/>
    <mergeCell ref="AA56:AB56"/>
    <mergeCell ref="AA57:AB57"/>
    <mergeCell ref="AA58:AB58"/>
    <mergeCell ref="AA59:AB59"/>
    <mergeCell ref="AA39:AB39"/>
    <mergeCell ref="AA38:AB38"/>
    <mergeCell ref="AA37:AB37"/>
    <mergeCell ref="Z103:AB103"/>
    <mergeCell ref="AA21:AB21"/>
    <mergeCell ref="Z21:Z22"/>
    <mergeCell ref="AA95:AB95"/>
    <mergeCell ref="AA96:AB96"/>
    <mergeCell ref="AA97:AB97"/>
    <mergeCell ref="AA98:AB98"/>
    <mergeCell ref="AA99:AB99"/>
    <mergeCell ref="AA90:AB90"/>
    <mergeCell ref="AA91:AB91"/>
    <mergeCell ref="AA92:AB92"/>
    <mergeCell ref="AA93:AB93"/>
    <mergeCell ref="AA94:AB94"/>
    <mergeCell ref="AA85:AB85"/>
    <mergeCell ref="AA86:AB86"/>
    <mergeCell ref="AA87:AB87"/>
    <mergeCell ref="AA88:AB88"/>
    <mergeCell ref="AA89:AB89"/>
    <mergeCell ref="AA80:AB80"/>
    <mergeCell ref="AA81:AB81"/>
    <mergeCell ref="AA82:AB82"/>
    <mergeCell ref="AA61:AB61"/>
    <mergeCell ref="AA34:AB34"/>
    <mergeCell ref="AA35:AB35"/>
    <mergeCell ref="AA44:AB44"/>
    <mergeCell ref="AA43:AB43"/>
    <mergeCell ref="AA42:AB42"/>
    <mergeCell ref="AA41:AB41"/>
    <mergeCell ref="AA40:AB40"/>
    <mergeCell ref="H12:J12"/>
    <mergeCell ref="AA102:AB102"/>
    <mergeCell ref="AA76:AB76"/>
    <mergeCell ref="AA77:AB77"/>
    <mergeCell ref="AA78:AB78"/>
    <mergeCell ref="AA79:AB79"/>
    <mergeCell ref="AA70:AB70"/>
    <mergeCell ref="AA71:AB71"/>
    <mergeCell ref="AA72:AB72"/>
    <mergeCell ref="AA73:AB73"/>
    <mergeCell ref="AA74:AB74"/>
    <mergeCell ref="H13:J13"/>
    <mergeCell ref="H14:J14"/>
    <mergeCell ref="H15:J15"/>
    <mergeCell ref="H16:J16"/>
    <mergeCell ref="H17:J17"/>
    <mergeCell ref="H18:J18"/>
    <mergeCell ref="AA83:AB83"/>
    <mergeCell ref="AA84:AB84"/>
    <mergeCell ref="AA75:AB75"/>
    <mergeCell ref="AA62:AB62"/>
    <mergeCell ref="AA63:AB63"/>
    <mergeCell ref="AA32:AB32"/>
    <mergeCell ref="Z18:AB18"/>
    <mergeCell ref="Z11:AB11"/>
    <mergeCell ref="Z12:AB12"/>
    <mergeCell ref="Z17:AB17"/>
    <mergeCell ref="Z16:AB16"/>
    <mergeCell ref="Z15:AB15"/>
    <mergeCell ref="AA36:AB36"/>
    <mergeCell ref="AA50:AB50"/>
    <mergeCell ref="AA51:AB51"/>
    <mergeCell ref="AA52:AB52"/>
    <mergeCell ref="AA53:AB53"/>
    <mergeCell ref="AA54:AB54"/>
    <mergeCell ref="AA45:AB45"/>
    <mergeCell ref="AA46:AB46"/>
    <mergeCell ref="AA47:AB47"/>
    <mergeCell ref="AA48:AB48"/>
    <mergeCell ref="AA49:AB49"/>
    <mergeCell ref="AA33:AB33"/>
    <mergeCell ref="W68:Y68"/>
    <mergeCell ref="W69:Y69"/>
    <mergeCell ref="W45:Y45"/>
    <mergeCell ref="W46:Y46"/>
    <mergeCell ref="W47:Y47"/>
    <mergeCell ref="W48:Y48"/>
    <mergeCell ref="W49:Y49"/>
    <mergeCell ref="W62:Y62"/>
    <mergeCell ref="W63:Y63"/>
    <mergeCell ref="W64:Y64"/>
    <mergeCell ref="W55:Y55"/>
    <mergeCell ref="W53:Y53"/>
    <mergeCell ref="W54:Y54"/>
    <mergeCell ref="W85:Y85"/>
    <mergeCell ref="W86:Y86"/>
    <mergeCell ref="W87:Y87"/>
    <mergeCell ref="W88:Y88"/>
    <mergeCell ref="W89:Y89"/>
    <mergeCell ref="W80:Y80"/>
    <mergeCell ref="W81:Y81"/>
    <mergeCell ref="W82:Y82"/>
    <mergeCell ref="W83:Y83"/>
    <mergeCell ref="W84:Y84"/>
    <mergeCell ref="W75:Y75"/>
    <mergeCell ref="W60:Y60"/>
    <mergeCell ref="W61:Y61"/>
    <mergeCell ref="W58:Y58"/>
    <mergeCell ref="W70:Y70"/>
    <mergeCell ref="W71:Y71"/>
    <mergeCell ref="W72:Y72"/>
    <mergeCell ref="W73:Y73"/>
    <mergeCell ref="W74:Y74"/>
    <mergeCell ref="W65:Y65"/>
    <mergeCell ref="W66:Y66"/>
    <mergeCell ref="W67:Y67"/>
    <mergeCell ref="W37:Y37"/>
    <mergeCell ref="W38:Y38"/>
    <mergeCell ref="W39:Y39"/>
    <mergeCell ref="W76:Y76"/>
    <mergeCell ref="W77:Y77"/>
    <mergeCell ref="W78:Y78"/>
    <mergeCell ref="W79:Y79"/>
    <mergeCell ref="W102:Y102"/>
    <mergeCell ref="W103:Y103"/>
    <mergeCell ref="W95:Y95"/>
    <mergeCell ref="W96:Y96"/>
    <mergeCell ref="W97:Y97"/>
    <mergeCell ref="W98:Y98"/>
    <mergeCell ref="W99:Y99"/>
    <mergeCell ref="W90:Y90"/>
    <mergeCell ref="W91:Y91"/>
    <mergeCell ref="W92:Y92"/>
    <mergeCell ref="W93:Y93"/>
    <mergeCell ref="W94:Y94"/>
    <mergeCell ref="W100:Y100"/>
    <mergeCell ref="W101:Y101"/>
    <mergeCell ref="W50:Y50"/>
    <mergeCell ref="W51:Y51"/>
    <mergeCell ref="W52:Y52"/>
    <mergeCell ref="E93:G93"/>
    <mergeCell ref="W56:Y56"/>
    <mergeCell ref="W57:Y57"/>
    <mergeCell ref="W59:Y59"/>
    <mergeCell ref="W11:Y11"/>
    <mergeCell ref="W12:Y12"/>
    <mergeCell ref="W13:Y13"/>
    <mergeCell ref="W14:Y14"/>
    <mergeCell ref="W15:Y15"/>
    <mergeCell ref="W16:Y16"/>
    <mergeCell ref="W17:Y17"/>
    <mergeCell ref="W18:Y18"/>
    <mergeCell ref="W21:Y21"/>
    <mergeCell ref="W27:X27"/>
    <mergeCell ref="W32:Y32"/>
    <mergeCell ref="W33:Y33"/>
    <mergeCell ref="W34:Y34"/>
    <mergeCell ref="W40:Y40"/>
    <mergeCell ref="W41:Y41"/>
    <mergeCell ref="W42:Y42"/>
    <mergeCell ref="W43:Y43"/>
    <mergeCell ref="W44:Y44"/>
    <mergeCell ref="W35:Y35"/>
    <mergeCell ref="W36:Y36"/>
    <mergeCell ref="E85:G85"/>
    <mergeCell ref="E54:G54"/>
    <mergeCell ref="E55:G55"/>
    <mergeCell ref="E56:G56"/>
    <mergeCell ref="E57:G57"/>
    <mergeCell ref="E111:G111"/>
    <mergeCell ref="E99:G99"/>
    <mergeCell ref="E100:G100"/>
    <mergeCell ref="E101:G101"/>
    <mergeCell ref="E102:G102"/>
    <mergeCell ref="E103:G103"/>
    <mergeCell ref="E94:G94"/>
    <mergeCell ref="E95:G95"/>
    <mergeCell ref="E96:G96"/>
    <mergeCell ref="E97:G97"/>
    <mergeCell ref="E98:G98"/>
    <mergeCell ref="E107:G107"/>
    <mergeCell ref="E108:G108"/>
    <mergeCell ref="E109:G109"/>
    <mergeCell ref="E110:G110"/>
    <mergeCell ref="E89:G89"/>
    <mergeCell ref="E90:G90"/>
    <mergeCell ref="E91:G91"/>
    <mergeCell ref="E92:G92"/>
    <mergeCell ref="E58:G58"/>
    <mergeCell ref="E46:G46"/>
    <mergeCell ref="E47:G47"/>
    <mergeCell ref="E51:G51"/>
    <mergeCell ref="E52:G52"/>
    <mergeCell ref="E53:G53"/>
    <mergeCell ref="E48:G48"/>
    <mergeCell ref="E49:G49"/>
    <mergeCell ref="E50:G50"/>
    <mergeCell ref="E72:G72"/>
    <mergeCell ref="E73:G73"/>
    <mergeCell ref="E64:G64"/>
    <mergeCell ref="E65:G65"/>
    <mergeCell ref="E66:G66"/>
    <mergeCell ref="E67:G67"/>
    <mergeCell ref="E68:G68"/>
    <mergeCell ref="E78:G78"/>
    <mergeCell ref="E84:G84"/>
    <mergeCell ref="B57:D57"/>
    <mergeCell ref="B58:D58"/>
    <mergeCell ref="B59:D59"/>
    <mergeCell ref="B89:D89"/>
    <mergeCell ref="E86:G86"/>
    <mergeCell ref="E87:G87"/>
    <mergeCell ref="E88:G88"/>
    <mergeCell ref="E79:G79"/>
    <mergeCell ref="E80:G80"/>
    <mergeCell ref="E81:G81"/>
    <mergeCell ref="E82:G82"/>
    <mergeCell ref="E83:G83"/>
    <mergeCell ref="E59:G59"/>
    <mergeCell ref="E60:G60"/>
    <mergeCell ref="E61:G61"/>
    <mergeCell ref="E62:G62"/>
    <mergeCell ref="E63:G63"/>
    <mergeCell ref="E74:G74"/>
    <mergeCell ref="E75:G75"/>
    <mergeCell ref="E76:G76"/>
    <mergeCell ref="E77:G77"/>
    <mergeCell ref="E69:G69"/>
    <mergeCell ref="E70:G70"/>
    <mergeCell ref="E71:G71"/>
    <mergeCell ref="B111:D111"/>
    <mergeCell ref="B26:C26"/>
    <mergeCell ref="B23:C23"/>
    <mergeCell ref="B24:C24"/>
    <mergeCell ref="B25:C25"/>
    <mergeCell ref="B27:C27"/>
    <mergeCell ref="B50:D50"/>
    <mergeCell ref="B43:D43"/>
    <mergeCell ref="B44:D44"/>
    <mergeCell ref="B45:D45"/>
    <mergeCell ref="B46:D46"/>
    <mergeCell ref="B47:D47"/>
    <mergeCell ref="B48:D48"/>
    <mergeCell ref="B49:D49"/>
    <mergeCell ref="B61:D61"/>
    <mergeCell ref="B62:D62"/>
    <mergeCell ref="B63:D63"/>
    <mergeCell ref="B64:D64"/>
    <mergeCell ref="B60:D60"/>
    <mergeCell ref="B70:D70"/>
    <mergeCell ref="B71:D71"/>
    <mergeCell ref="B72:D72"/>
    <mergeCell ref="B51:D51"/>
    <mergeCell ref="B52:D52"/>
    <mergeCell ref="E11:G11"/>
    <mergeCell ref="E21:G21"/>
    <mergeCell ref="E12:G12"/>
    <mergeCell ref="E13:G13"/>
    <mergeCell ref="E14:G14"/>
    <mergeCell ref="E15:G15"/>
    <mergeCell ref="E16:G16"/>
    <mergeCell ref="E17:G17"/>
    <mergeCell ref="E18:G18"/>
    <mergeCell ref="B65:D65"/>
    <mergeCell ref="B85:D85"/>
    <mergeCell ref="B86:D86"/>
    <mergeCell ref="B87:D87"/>
    <mergeCell ref="B88:D88"/>
    <mergeCell ref="E27:F27"/>
    <mergeCell ref="E32:G32"/>
    <mergeCell ref="E33:G33"/>
    <mergeCell ref="E34:G34"/>
    <mergeCell ref="E35:G35"/>
    <mergeCell ref="E44:G44"/>
    <mergeCell ref="E45:G45"/>
    <mergeCell ref="E36:G36"/>
    <mergeCell ref="E37:G37"/>
    <mergeCell ref="E38:G38"/>
    <mergeCell ref="E39:G39"/>
    <mergeCell ref="E40:G40"/>
    <mergeCell ref="E41:G41"/>
    <mergeCell ref="E42:G42"/>
    <mergeCell ref="E43:G43"/>
    <mergeCell ref="B53:D53"/>
    <mergeCell ref="B54:D54"/>
    <mergeCell ref="B55:D55"/>
    <mergeCell ref="B56:D56"/>
    <mergeCell ref="B96:D96"/>
    <mergeCell ref="B74:D74"/>
    <mergeCell ref="B75:D75"/>
    <mergeCell ref="B76:D76"/>
    <mergeCell ref="B77:D77"/>
    <mergeCell ref="B78:D78"/>
    <mergeCell ref="B79:D79"/>
    <mergeCell ref="B80:D80"/>
    <mergeCell ref="B81:D81"/>
    <mergeCell ref="B82:D82"/>
    <mergeCell ref="B84:D84"/>
    <mergeCell ref="B110:D110"/>
    <mergeCell ref="B12:D12"/>
    <mergeCell ref="B22:C22"/>
    <mergeCell ref="B11:D11"/>
    <mergeCell ref="B18:D18"/>
    <mergeCell ref="B17:D17"/>
    <mergeCell ref="B16:D16"/>
    <mergeCell ref="B15:D15"/>
    <mergeCell ref="B14:D14"/>
    <mergeCell ref="B13:D13"/>
    <mergeCell ref="B97:D97"/>
    <mergeCell ref="B98:D98"/>
    <mergeCell ref="B99:D99"/>
    <mergeCell ref="B100:D100"/>
    <mergeCell ref="B101:D101"/>
    <mergeCell ref="B102:D102"/>
    <mergeCell ref="B103:D103"/>
    <mergeCell ref="B104:D104"/>
    <mergeCell ref="B107:D107"/>
    <mergeCell ref="B83:D83"/>
    <mergeCell ref="B90:D90"/>
    <mergeCell ref="B91:D91"/>
    <mergeCell ref="B92:D92"/>
    <mergeCell ref="B32:D32"/>
    <mergeCell ref="B73:D73"/>
    <mergeCell ref="B66:D66"/>
    <mergeCell ref="B67:D67"/>
    <mergeCell ref="B68:D68"/>
    <mergeCell ref="B69:D69"/>
    <mergeCell ref="A1:AB4"/>
    <mergeCell ref="A5:AB6"/>
    <mergeCell ref="B108:D108"/>
    <mergeCell ref="B109:D109"/>
    <mergeCell ref="A21:A22"/>
    <mergeCell ref="B42:D42"/>
    <mergeCell ref="B33:D33"/>
    <mergeCell ref="B34:D34"/>
    <mergeCell ref="B41:D41"/>
    <mergeCell ref="B40:D40"/>
    <mergeCell ref="B39:D39"/>
    <mergeCell ref="B38:D38"/>
    <mergeCell ref="B37:D37"/>
    <mergeCell ref="B36:D36"/>
    <mergeCell ref="B35:D35"/>
    <mergeCell ref="B21:D21"/>
    <mergeCell ref="B93:D93"/>
    <mergeCell ref="B94:D94"/>
    <mergeCell ref="B95:D95"/>
  </mergeCells>
  <pageMargins left="0.511811024" right="0.511811024" top="0.78740157499999996" bottom="0.78740157499999996" header="0.31496062000000002" footer="0.31496062000000002"/>
  <pageSetup paperSize="9" orientation="portrait" r:id="rId1"/>
  <ignoredErrors>
    <ignoredError sqref="H53 H46 H50 H42 H69 H89 H72 W94 W89 W84 W64 W69 W50 W46 W42 K50 K53 K46 K86 K79 K89 K69 K42 K94 K77 N53 N38 N42 N46 N50 K74 N86 N89 N94 N69 Q38 Q42 Q46 N71 Q72 Q69 Q53 Q97 Q92 Q94 T42 T46 T50 T53 T62 T79 T69 T86 T100"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JUN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Anipa Participantes</dc:creator>
  <cp:lastModifiedBy>ANIPA</cp:lastModifiedBy>
  <dcterms:created xsi:type="dcterms:W3CDTF">2023-04-14T18:57:22Z</dcterms:created>
  <dcterms:modified xsi:type="dcterms:W3CDTF">2023-07-03T19:33:03Z</dcterms:modified>
</cp:coreProperties>
</file>