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5. FINANCEIRO\2020\06. JUN\Histórico Mensal\"/>
    </mc:Choice>
  </mc:AlternateContent>
  <xr:revisionPtr revIDLastSave="0" documentId="13_ncr:1_{2610CFF4-CCEA-4851-8A4B-88BF24B0D80D}" xr6:coauthVersionLast="45" xr6:coauthVersionMax="45" xr10:uidLastSave="{00000000-0000-0000-0000-000000000000}"/>
  <bookViews>
    <workbookView xWindow="-120" yWindow="-120" windowWidth="20730" windowHeight="11160" xr2:uid="{C5CB5A1D-F9E4-4240-9DC5-ABCD703783C9}"/>
  </bookViews>
  <sheets>
    <sheet name="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W24" i="1"/>
  <c r="T112" i="1" l="1"/>
  <c r="K112" i="1"/>
  <c r="E112" i="1"/>
  <c r="E111" i="1"/>
  <c r="H111" i="1" s="1"/>
  <c r="K111" i="1" s="1"/>
  <c r="N111" i="1" s="1"/>
  <c r="Q111" i="1" s="1"/>
  <c r="T111" i="1" s="1"/>
  <c r="T110" i="1"/>
  <c r="Q110" i="1"/>
  <c r="N110" i="1"/>
  <c r="H109" i="1"/>
  <c r="K109" i="1" s="1"/>
  <c r="N109" i="1" s="1"/>
  <c r="Q109" i="1" s="1"/>
  <c r="T109" i="1" s="1"/>
  <c r="E109" i="1"/>
  <c r="B108" i="1"/>
  <c r="B113" i="1" s="1"/>
  <c r="W101" i="1"/>
  <c r="AA101" i="1" s="1"/>
  <c r="K101" i="1"/>
  <c r="E101" i="1"/>
  <c r="AA100" i="1"/>
  <c r="W100" i="1"/>
  <c r="W99" i="1"/>
  <c r="AA99" i="1" s="1"/>
  <c r="K99" i="1"/>
  <c r="W98" i="1"/>
  <c r="AA98" i="1" s="1"/>
  <c r="K98" i="1"/>
  <c r="K97" i="1"/>
  <c r="H97" i="1"/>
  <c r="E97" i="1"/>
  <c r="H96" i="1"/>
  <c r="K95" i="1"/>
  <c r="H95" i="1"/>
  <c r="W95" i="1" s="1"/>
  <c r="T94" i="1"/>
  <c r="Q94" i="1"/>
  <c r="N94" i="1"/>
  <c r="K94" i="1"/>
  <c r="B94" i="1"/>
  <c r="AA93" i="1"/>
  <c r="W93" i="1"/>
  <c r="W92" i="1"/>
  <c r="AA92" i="1" s="1"/>
  <c r="K92" i="1"/>
  <c r="E92" i="1"/>
  <c r="AA91" i="1"/>
  <c r="W91" i="1"/>
  <c r="H91" i="1"/>
  <c r="Q90" i="1"/>
  <c r="E90" i="1"/>
  <c r="B90" i="1"/>
  <c r="B89" i="1" s="1"/>
  <c r="T89" i="1"/>
  <c r="Q89" i="1"/>
  <c r="N89" i="1"/>
  <c r="K89" i="1"/>
  <c r="H89" i="1"/>
  <c r="Q88" i="1"/>
  <c r="K88" i="1"/>
  <c r="K83" i="1" s="1"/>
  <c r="E88" i="1"/>
  <c r="W88" i="1" s="1"/>
  <c r="T87" i="1"/>
  <c r="Q87" i="1"/>
  <c r="K87" i="1"/>
  <c r="E87" i="1"/>
  <c r="W87" i="1" s="1"/>
  <c r="T86" i="1"/>
  <c r="T83" i="1" s="1"/>
  <c r="Q86" i="1"/>
  <c r="Q83" i="1" s="1"/>
  <c r="K86" i="1"/>
  <c r="H86" i="1"/>
  <c r="E86" i="1"/>
  <c r="AA85" i="1"/>
  <c r="W85" i="1"/>
  <c r="AA84" i="1"/>
  <c r="W84" i="1"/>
  <c r="N83" i="1"/>
  <c r="H83" i="1"/>
  <c r="B83" i="1"/>
  <c r="T82" i="1"/>
  <c r="Q82" i="1"/>
  <c r="N82" i="1"/>
  <c r="K82" i="1"/>
  <c r="H82" i="1"/>
  <c r="H68" i="1" s="1"/>
  <c r="E82" i="1"/>
  <c r="W82" i="1" s="1"/>
  <c r="T81" i="1"/>
  <c r="Q81" i="1"/>
  <c r="N81" i="1"/>
  <c r="K81" i="1"/>
  <c r="H81" i="1"/>
  <c r="E81" i="1"/>
  <c r="W81" i="1" s="1"/>
  <c r="W80" i="1"/>
  <c r="AA80" i="1" s="1"/>
  <c r="W79" i="1"/>
  <c r="E79" i="1"/>
  <c r="H78" i="1"/>
  <c r="E78" i="1"/>
  <c r="W78" i="1" s="1"/>
  <c r="W77" i="1"/>
  <c r="AA77" i="1" s="1"/>
  <c r="W76" i="1"/>
  <c r="K76" i="1"/>
  <c r="H76" i="1"/>
  <c r="E76" i="1"/>
  <c r="T75" i="1"/>
  <c r="Q75" i="1"/>
  <c r="N75" i="1"/>
  <c r="K75" i="1"/>
  <c r="H75" i="1"/>
  <c r="E75" i="1"/>
  <c r="W75" i="1" s="1"/>
  <c r="T74" i="1"/>
  <c r="Q74" i="1"/>
  <c r="N74" i="1"/>
  <c r="N68" i="1" s="1"/>
  <c r="K74" i="1"/>
  <c r="H74" i="1"/>
  <c r="E74" i="1"/>
  <c r="W73" i="1"/>
  <c r="Q73" i="1"/>
  <c r="H73" i="1"/>
  <c r="E73" i="1"/>
  <c r="AA72" i="1"/>
  <c r="W72" i="1"/>
  <c r="K71" i="1"/>
  <c r="K68" i="1" s="1"/>
  <c r="H71" i="1"/>
  <c r="E71" i="1"/>
  <c r="AA70" i="1"/>
  <c r="W70" i="1"/>
  <c r="W69" i="1"/>
  <c r="T68" i="1"/>
  <c r="B68" i="1"/>
  <c r="N67" i="1"/>
  <c r="H67" i="1"/>
  <c r="E67" i="1"/>
  <c r="W67" i="1" s="1"/>
  <c r="AA67" i="1" s="1"/>
  <c r="T66" i="1"/>
  <c r="Q66" i="1"/>
  <c r="N66" i="1"/>
  <c r="K66" i="1"/>
  <c r="H66" i="1"/>
  <c r="E66" i="1"/>
  <c r="T65" i="1"/>
  <c r="Q65" i="1"/>
  <c r="N65" i="1"/>
  <c r="K65" i="1"/>
  <c r="K63" i="1" s="1"/>
  <c r="H65" i="1"/>
  <c r="E65" i="1"/>
  <c r="T64" i="1"/>
  <c r="T63" i="1" s="1"/>
  <c r="Q64" i="1"/>
  <c r="N64" i="1"/>
  <c r="K64" i="1"/>
  <c r="H64" i="1"/>
  <c r="H63" i="1" s="1"/>
  <c r="E64" i="1"/>
  <c r="Q63" i="1"/>
  <c r="B63" i="1"/>
  <c r="AA62" i="1"/>
  <c r="W62" i="1"/>
  <c r="N61" i="1"/>
  <c r="W61" i="1" s="1"/>
  <c r="AA61" i="1" s="1"/>
  <c r="W60" i="1"/>
  <c r="AA60" i="1" s="1"/>
  <c r="W59" i="1"/>
  <c r="Q58" i="1"/>
  <c r="W58" i="1" s="1"/>
  <c r="AA58" i="1" s="1"/>
  <c r="T57" i="1"/>
  <c r="Q57" i="1"/>
  <c r="N57" i="1"/>
  <c r="K57" i="1"/>
  <c r="H57" i="1"/>
  <c r="E57" i="1"/>
  <c r="W57" i="1" s="1"/>
  <c r="AA57" i="1" s="1"/>
  <c r="T56" i="1"/>
  <c r="Q56" i="1"/>
  <c r="Q50" i="1" s="1"/>
  <c r="N56" i="1"/>
  <c r="K56" i="1"/>
  <c r="H56" i="1"/>
  <c r="E56" i="1"/>
  <c r="E50" i="1" s="1"/>
  <c r="T55" i="1"/>
  <c r="Q55" i="1"/>
  <c r="N55" i="1"/>
  <c r="K55" i="1"/>
  <c r="H55" i="1"/>
  <c r="E55" i="1"/>
  <c r="AA54" i="1"/>
  <c r="W54" i="1"/>
  <c r="T53" i="1"/>
  <c r="T50" i="1" s="1"/>
  <c r="Q53" i="1"/>
  <c r="N53" i="1"/>
  <c r="K53" i="1"/>
  <c r="H53" i="1"/>
  <c r="E53" i="1"/>
  <c r="AA52" i="1"/>
  <c r="W52" i="1"/>
  <c r="W51" i="1"/>
  <c r="AA51" i="1" s="1"/>
  <c r="K50" i="1"/>
  <c r="B50" i="1"/>
  <c r="W49" i="1"/>
  <c r="W48" i="1"/>
  <c r="AA48" i="1" s="1"/>
  <c r="W47" i="1"/>
  <c r="T46" i="1"/>
  <c r="Q46" i="1"/>
  <c r="N46" i="1"/>
  <c r="K46" i="1"/>
  <c r="H46" i="1"/>
  <c r="E46" i="1"/>
  <c r="B46" i="1"/>
  <c r="W45" i="1"/>
  <c r="AA45" i="1" s="1"/>
  <c r="W44" i="1"/>
  <c r="B44" i="1"/>
  <c r="W43" i="1"/>
  <c r="AA43" i="1" s="1"/>
  <c r="T43" i="1"/>
  <c r="Q43" i="1"/>
  <c r="Q42" i="1" s="1"/>
  <c r="N43" i="1"/>
  <c r="B43" i="1"/>
  <c r="B42" i="1" s="1"/>
  <c r="T42" i="1"/>
  <c r="N42" i="1"/>
  <c r="K42" i="1"/>
  <c r="H42" i="1"/>
  <c r="E42" i="1"/>
  <c r="W41" i="1"/>
  <c r="AA41" i="1" s="1"/>
  <c r="B41" i="1"/>
  <c r="W40" i="1"/>
  <c r="AA40" i="1" s="1"/>
  <c r="B40" i="1"/>
  <c r="W39" i="1"/>
  <c r="AA39" i="1" s="1"/>
  <c r="B39" i="1"/>
  <c r="T38" i="1"/>
  <c r="N38" i="1"/>
  <c r="K38" i="1"/>
  <c r="K33" i="1" s="1"/>
  <c r="H38" i="1"/>
  <c r="W38" i="1" s="1"/>
  <c r="AA38" i="1" s="1"/>
  <c r="T37" i="1"/>
  <c r="Q37" i="1"/>
  <c r="N37" i="1"/>
  <c r="K37" i="1"/>
  <c r="H37" i="1"/>
  <c r="W37" i="1" s="1"/>
  <c r="T36" i="1"/>
  <c r="Q36" i="1"/>
  <c r="N36" i="1"/>
  <c r="K36" i="1"/>
  <c r="H36" i="1"/>
  <c r="E36" i="1"/>
  <c r="W36" i="1" s="1"/>
  <c r="T35" i="1"/>
  <c r="Q35" i="1"/>
  <c r="N35" i="1"/>
  <c r="N33" i="1" s="1"/>
  <c r="K35" i="1"/>
  <c r="W35" i="1" s="1"/>
  <c r="E35" i="1"/>
  <c r="W34" i="1"/>
  <c r="AA34" i="1" s="1"/>
  <c r="B34" i="1"/>
  <c r="T33" i="1"/>
  <c r="T102" i="1" s="1"/>
  <c r="B33" i="1"/>
  <c r="W27" i="1"/>
  <c r="P27" i="1"/>
  <c r="B27" i="1"/>
  <c r="AB26" i="1"/>
  <c r="Y26" i="1"/>
  <c r="D26" i="1"/>
  <c r="V25" i="1"/>
  <c r="S25" i="1"/>
  <c r="P25" i="1"/>
  <c r="M25" i="1"/>
  <c r="M27" i="1" s="1"/>
  <c r="J25" i="1"/>
  <c r="G25" i="1"/>
  <c r="Y25" i="1" s="1"/>
  <c r="D25" i="1"/>
  <c r="AA24" i="1"/>
  <c r="AA27" i="1" s="1"/>
  <c r="V24" i="1"/>
  <c r="V27" i="1" s="1"/>
  <c r="T103" i="1" s="1"/>
  <c r="S24" i="1"/>
  <c r="S27" i="1" s="1"/>
  <c r="P24" i="1"/>
  <c r="M24" i="1"/>
  <c r="J24" i="1"/>
  <c r="J27" i="1" s="1"/>
  <c r="G24" i="1"/>
  <c r="G27" i="1" s="1"/>
  <c r="E24" i="1"/>
  <c r="E27" i="1" s="1"/>
  <c r="H27" i="1" s="1"/>
  <c r="K27" i="1" s="1"/>
  <c r="N27" i="1" s="1"/>
  <c r="Q27" i="1" s="1"/>
  <c r="T27" i="1" s="1"/>
  <c r="D24" i="1"/>
  <c r="AB23" i="1"/>
  <c r="D23" i="1"/>
  <c r="D27" i="1" s="1"/>
  <c r="B103" i="1" s="1"/>
  <c r="B17" i="1"/>
  <c r="B16" i="1"/>
  <c r="B15" i="1"/>
  <c r="B14" i="1"/>
  <c r="B13" i="1"/>
  <c r="B12" i="1" s="1"/>
  <c r="Z12" i="1"/>
  <c r="W12" i="1"/>
  <c r="AA37" i="1" l="1"/>
  <c r="AA42" i="1"/>
  <c r="AB25" i="1"/>
  <c r="AA78" i="1"/>
  <c r="B18" i="1"/>
  <c r="AA35" i="1"/>
  <c r="AA36" i="1"/>
  <c r="AA33" i="1" s="1"/>
  <c r="K102" i="1"/>
  <c r="K103" i="1" s="1"/>
  <c r="AA75" i="1"/>
  <c r="AA81" i="1"/>
  <c r="AA87" i="1"/>
  <c r="Y24" i="1"/>
  <c r="W46" i="1"/>
  <c r="W65" i="1"/>
  <c r="AA82" i="1"/>
  <c r="W97" i="1"/>
  <c r="E94" i="1"/>
  <c r="W33" i="1"/>
  <c r="AA44" i="1"/>
  <c r="AA47" i="1"/>
  <c r="AA46" i="1" s="1"/>
  <c r="W53" i="1"/>
  <c r="H50" i="1"/>
  <c r="AA73" i="1"/>
  <c r="E33" i="1"/>
  <c r="W55" i="1"/>
  <c r="W56" i="1"/>
  <c r="AA59" i="1"/>
  <c r="E63" i="1"/>
  <c r="N63" i="1"/>
  <c r="W68" i="1"/>
  <c r="W74" i="1"/>
  <c r="AA79" i="1"/>
  <c r="W86" i="1"/>
  <c r="E83" i="1"/>
  <c r="H33" i="1"/>
  <c r="Q33" i="1"/>
  <c r="W42" i="1"/>
  <c r="AA49" i="1"/>
  <c r="AA76" i="1"/>
  <c r="AA95" i="1"/>
  <c r="N50" i="1"/>
  <c r="N102" i="1" s="1"/>
  <c r="N103" i="1" s="1"/>
  <c r="W64" i="1"/>
  <c r="W66" i="1"/>
  <c r="AA69" i="1"/>
  <c r="W71" i="1"/>
  <c r="E68" i="1"/>
  <c r="Q68" i="1"/>
  <c r="AA88" i="1"/>
  <c r="W90" i="1"/>
  <c r="E89" i="1"/>
  <c r="H94" i="1"/>
  <c r="W96" i="1"/>
  <c r="E108" i="1"/>
  <c r="AA64" i="1" l="1"/>
  <c r="W63" i="1"/>
  <c r="AB24" i="1"/>
  <c r="AB27" i="1" s="1"/>
  <c r="Y27" i="1"/>
  <c r="AA86" i="1"/>
  <c r="AA83" i="1" s="1"/>
  <c r="W83" i="1"/>
  <c r="Q102" i="1"/>
  <c r="Q103" i="1" s="1"/>
  <c r="E102" i="1"/>
  <c r="E103" i="1" s="1"/>
  <c r="AA96" i="1"/>
  <c r="AA94" i="1" s="1"/>
  <c r="W94" i="1"/>
  <c r="AA55" i="1"/>
  <c r="AA65" i="1"/>
  <c r="AA71" i="1"/>
  <c r="AA68" i="1" s="1"/>
  <c r="AA97" i="1"/>
  <c r="E113" i="1"/>
  <c r="H108" i="1"/>
  <c r="AA90" i="1"/>
  <c r="AA89" i="1" s="1"/>
  <c r="W89" i="1"/>
  <c r="AA66" i="1"/>
  <c r="H102" i="1"/>
  <c r="H103" i="1" s="1"/>
  <c r="AA74" i="1"/>
  <c r="AA56" i="1"/>
  <c r="AA53" i="1"/>
  <c r="W50" i="1"/>
  <c r="Z27" i="1" l="1"/>
  <c r="W16" i="1"/>
  <c r="Z26" i="1"/>
  <c r="Z25" i="1"/>
  <c r="Z16" i="1"/>
  <c r="H113" i="1"/>
  <c r="K108" i="1"/>
  <c r="Z24" i="1"/>
  <c r="AA63" i="1"/>
  <c r="W102" i="1"/>
  <c r="Z63" i="1" s="1"/>
  <c r="AA50" i="1"/>
  <c r="Z83" i="1" l="1"/>
  <c r="Z50" i="1"/>
  <c r="Z94" i="1"/>
  <c r="K113" i="1"/>
  <c r="N108" i="1"/>
  <c r="Z100" i="1"/>
  <c r="Z93" i="1"/>
  <c r="Z91" i="1"/>
  <c r="Z84" i="1"/>
  <c r="Z102" i="1"/>
  <c r="Z101" i="1"/>
  <c r="Z77" i="1"/>
  <c r="Z48" i="1"/>
  <c r="Z39" i="1"/>
  <c r="Z99" i="1"/>
  <c r="Z98" i="1"/>
  <c r="Z40" i="1"/>
  <c r="Z70" i="1"/>
  <c r="Z51" i="1"/>
  <c r="Z41" i="1"/>
  <c r="Z92" i="1"/>
  <c r="Z80" i="1"/>
  <c r="Z67" i="1"/>
  <c r="Z60" i="1"/>
  <c r="Z58" i="1"/>
  <c r="W17" i="1"/>
  <c r="Z81" i="1"/>
  <c r="Z47" i="1"/>
  <c r="Z73" i="1"/>
  <c r="Z85" i="1"/>
  <c r="Z79" i="1"/>
  <c r="Z72" i="1"/>
  <c r="Z36" i="1"/>
  <c r="Z87" i="1"/>
  <c r="Z49" i="1"/>
  <c r="Z69" i="1"/>
  <c r="Z43" i="1"/>
  <c r="Z44" i="1"/>
  <c r="Z37" i="1"/>
  <c r="Z78" i="1"/>
  <c r="Z35" i="1"/>
  <c r="Z75" i="1"/>
  <c r="Z76" i="1"/>
  <c r="Z88" i="1"/>
  <c r="Z34" i="1"/>
  <c r="Z57" i="1"/>
  <c r="Z54" i="1"/>
  <c r="Z38" i="1"/>
  <c r="Z59" i="1"/>
  <c r="Z52" i="1"/>
  <c r="Z62" i="1"/>
  <c r="Z82" i="1"/>
  <c r="Z61" i="1"/>
  <c r="Z95" i="1"/>
  <c r="Z68" i="1"/>
  <c r="Z96" i="1"/>
  <c r="Z55" i="1"/>
  <c r="Z71" i="1"/>
  <c r="Z53" i="1"/>
  <c r="Z64" i="1"/>
  <c r="Z86" i="1"/>
  <c r="Z46" i="1"/>
  <c r="Z42" i="1"/>
  <c r="Z66" i="1"/>
  <c r="Z65" i="1"/>
  <c r="Z74" i="1"/>
  <c r="Z90" i="1"/>
  <c r="Z56" i="1"/>
  <c r="Z97" i="1"/>
  <c r="Z33" i="1"/>
  <c r="W18" i="1"/>
  <c r="Z89" i="1"/>
  <c r="AA102" i="1"/>
  <c r="W103" i="1"/>
  <c r="Z45" i="1" s="1"/>
  <c r="Z17" i="1" l="1"/>
  <c r="Z18" i="1" s="1"/>
  <c r="Z103" i="1"/>
  <c r="N113" i="1"/>
  <c r="Q108" i="1"/>
  <c r="Q113" i="1" l="1"/>
  <c r="T108" i="1"/>
  <c r="T113" i="1" s="1"/>
</calcChain>
</file>

<file path=xl/sharedStrings.xml><?xml version="1.0" encoding="utf-8"?>
<sst xmlns="http://schemas.openxmlformats.org/spreadsheetml/2006/main" count="162" uniqueCount="120">
  <si>
    <r>
      <t xml:space="preserve">CONTROLE FINANCEIRO 2020
</t>
    </r>
    <r>
      <rPr>
        <b/>
        <sz val="12"/>
        <rFont val="Calibri"/>
        <family val="2"/>
        <scheme val="minor"/>
      </rPr>
      <t>Posição JUNHO</t>
    </r>
  </si>
  <si>
    <t>DETALHAMENTO DE BENS E RECEITAS</t>
  </si>
  <si>
    <t>Bens da ANIPA</t>
  </si>
  <si>
    <t>Acumulado 2019</t>
  </si>
  <si>
    <t>JAN</t>
  </si>
  <si>
    <t>FEV</t>
  </si>
  <si>
    <t>MAR</t>
  </si>
  <si>
    <t>ABR</t>
  </si>
  <si>
    <t>MAI</t>
  </si>
  <si>
    <t>JUN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</si>
  <si>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</si>
  <si>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</si>
  <si>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</si>
  <si>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</si>
  <si>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</si>
  <si>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</si>
  <si>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 xml:space="preserve"> 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</si>
  <si>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</si>
  <si>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</si>
  <si>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</si>
  <si>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</si>
  <si>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</si>
  <si>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</si>
  <si>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</si>
  <si>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</si>
  <si>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</si>
  <si>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</si>
  <si>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</si>
  <si>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</si>
  <si>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</si>
  <si>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</si>
  <si>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</si>
  <si>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</si>
  <si>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</si>
  <si>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</si>
  <si>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</si>
  <si>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</si>
  <si>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</si>
  <si>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</si>
  <si>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</si>
  <si>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</si>
  <si>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</si>
  <si>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</si>
  <si>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</si>
  <si>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</si>
  <si>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</si>
  <si>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</si>
  <si>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</si>
  <si>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</si>
  <si>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</si>
  <si>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</si>
  <si>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</si>
  <si>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</si>
  <si>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novo Sistema ANIPA </t>
  </si>
  <si>
    <t xml:space="preserve">Hospedagem / Manutenção novo Sistema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</si>
  <si>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</si>
  <si>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</si>
  <si>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</si>
  <si>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</si>
  <si>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</si>
  <si>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</si>
  <si>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</si>
  <si>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</si>
  <si>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</si>
  <si>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</si>
  <si>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</si>
  <si>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</si>
  <si>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</si>
  <si>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</si>
  <si>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Computadores 3,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</si>
  <si>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</si>
  <si>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</si>
  <si>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</si>
  <si>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</si>
  <si>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</si>
  <si>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</si>
  <si>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</si>
  <si>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</si>
  <si>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</si>
  <si>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</si>
  <si>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</si>
  <si>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</si>
  <si>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</si>
  <si>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</si>
  <si>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</si>
  <si>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</si>
  <si>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</si>
  <si>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</si>
  <si>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</si>
  <si>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</si>
  <si>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</si>
  <si>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</si>
  <si>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</si>
  <si>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</si>
  <si>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</si>
  <si>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</si>
  <si>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</si>
  <si>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</si>
  <si>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</si>
  <si>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</si>
  <si>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</si>
  <si>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</si>
  <si>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</si>
  <si>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</si>
  <si>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</si>
  <si>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</si>
  <si>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</si>
  <si>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</t>
  </si>
  <si>
    <t xml:space="preserve">Caixa FIC SIGMA </t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</si>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</sst>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/>
    </xf>
    <xf numFmtId="0" fontId="8" fillId="8" borderId="5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0" fontId="6" fillId="8" borderId="1" xfId="0" applyFont="1" applyFill="1" applyBorder="1"/>
    <xf numFmtId="3" fontId="10" fillId="8" borderId="5" xfId="0" applyNumberFormat="1" applyFont="1" applyFill="1" applyBorder="1" applyAlignment="1">
      <alignment horizontal="right"/>
    </xf>
    <xf numFmtId="3" fontId="10" fillId="8" borderId="4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0" fontId="9" fillId="10" borderId="1" xfId="0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0" fontId="9" fillId="11" borderId="1" xfId="0" applyFont="1" applyFill="1" applyBorder="1" applyAlignment="1">
      <alignment horizontal="center"/>
    </xf>
    <xf numFmtId="3" fontId="8" fillId="11" borderId="5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0" fontId="9" fillId="10" borderId="5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0" fontId="8" fillId="12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horizontal="right"/>
    </xf>
    <xf numFmtId="3" fontId="10" fillId="7" borderId="1" xfId="0" applyNumberFormat="1" applyFont="1" applyFill="1" applyBorder="1"/>
    <xf numFmtId="0" fontId="6" fillId="7" borderId="1" xfId="0" applyFont="1" applyFill="1" applyBorder="1"/>
    <xf numFmtId="164" fontId="10" fillId="7" borderId="1" xfId="0" applyNumberFormat="1" applyFont="1" applyFill="1" applyBorder="1"/>
    <xf numFmtId="10" fontId="11" fillId="7" borderId="1" xfId="0" applyNumberFormat="1" applyFont="1" applyFill="1" applyBorder="1"/>
    <xf numFmtId="3" fontId="6" fillId="13" borderId="1" xfId="0" applyNumberFormat="1" applyFont="1" applyFill="1" applyBorder="1"/>
    <xf numFmtId="164" fontId="6" fillId="13" borderId="1" xfId="0" applyNumberFormat="1" applyFont="1" applyFill="1" applyBorder="1"/>
    <xf numFmtId="164" fontId="10" fillId="8" borderId="1" xfId="0" applyNumberFormat="1" applyFont="1" applyFill="1" applyBorder="1" applyAlignment="1">
      <alignment horizontal="right"/>
    </xf>
    <xf numFmtId="10" fontId="11" fillId="8" borderId="1" xfId="0" applyNumberFormat="1" applyFont="1" applyFill="1" applyBorder="1"/>
    <xf numFmtId="3" fontId="6" fillId="8" borderId="1" xfId="0" applyNumberFormat="1" applyFont="1" applyFill="1" applyBorder="1"/>
    <xf numFmtId="164" fontId="6" fillId="8" borderId="1" xfId="0" applyNumberFormat="1" applyFont="1" applyFill="1" applyBorder="1"/>
    <xf numFmtId="0" fontId="10" fillId="8" borderId="1" xfId="0" applyFont="1" applyFill="1" applyBorder="1"/>
    <xf numFmtId="0" fontId="6" fillId="13" borderId="1" xfId="0" applyFont="1" applyFill="1" applyBorder="1"/>
    <xf numFmtId="0" fontId="9" fillId="14" borderId="1" xfId="0" applyFont="1" applyFill="1" applyBorder="1"/>
    <xf numFmtId="40" fontId="8" fillId="14" borderId="1" xfId="0" applyNumberFormat="1" applyFont="1" applyFill="1" applyBorder="1"/>
    <xf numFmtId="10" fontId="12" fillId="14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/>
    </xf>
    <xf numFmtId="40" fontId="9" fillId="6" borderId="1" xfId="0" applyNumberFormat="1" applyFont="1" applyFill="1" applyBorder="1"/>
    <xf numFmtId="0" fontId="13" fillId="4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 applyProtection="1">
      <alignment horizontal="center"/>
      <protection locked="0"/>
    </xf>
    <xf numFmtId="10" fontId="8" fillId="12" borderId="1" xfId="0" applyNumberFormat="1" applyFont="1" applyFill="1" applyBorder="1" applyAlignment="1">
      <alignment horizontal="right"/>
    </xf>
    <xf numFmtId="0" fontId="10" fillId="8" borderId="1" xfId="0" applyFont="1" applyFill="1" applyBorder="1" applyProtection="1">
      <protection locked="0"/>
    </xf>
    <xf numFmtId="10" fontId="10" fillId="8" borderId="1" xfId="0" applyNumberFormat="1" applyFont="1" applyFill="1" applyBorder="1" applyAlignment="1">
      <alignment horizontal="right"/>
    </xf>
    <xf numFmtId="0" fontId="6" fillId="0" borderId="1" xfId="0" applyFont="1" applyBorder="1" applyProtection="1">
      <protection locked="0"/>
    </xf>
    <xf numFmtId="0" fontId="10" fillId="8" borderId="1" xfId="0" applyFont="1" applyFill="1" applyBorder="1" applyAlignment="1" applyProtection="1">
      <alignment horizontal="left"/>
      <protection locked="0"/>
    </xf>
    <xf numFmtId="10" fontId="10" fillId="8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 applyProtection="1">
      <alignment horizontal="center"/>
      <protection locked="0"/>
    </xf>
    <xf numFmtId="10" fontId="9" fillId="3" borderId="1" xfId="0" applyNumberFormat="1" applyFont="1" applyFill="1" applyBorder="1" applyAlignment="1">
      <alignment horizontal="right"/>
    </xf>
    <xf numFmtId="0" fontId="8" fillId="14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4" fontId="9" fillId="8" borderId="0" xfId="0" applyNumberFormat="1" applyFont="1" applyFill="1" applyAlignment="1">
      <alignment horizontal="right"/>
    </xf>
    <xf numFmtId="4" fontId="15" fillId="8" borderId="0" xfId="0" applyNumberFormat="1" applyFont="1" applyFill="1" applyAlignment="1">
      <alignment horizontal="right"/>
    </xf>
    <xf numFmtId="0" fontId="9" fillId="10" borderId="7" xfId="0" applyFont="1" applyFill="1" applyBorder="1" applyAlignment="1">
      <alignment horizontal="center" vertical="center"/>
    </xf>
    <xf numFmtId="4" fontId="16" fillId="8" borderId="0" xfId="0" applyNumberFormat="1" applyFont="1" applyFill="1" applyAlignment="1">
      <alignment vertical="center" wrapText="1"/>
    </xf>
    <xf numFmtId="0" fontId="6" fillId="0" borderId="1" xfId="0" applyFont="1" applyBorder="1"/>
    <xf numFmtId="0" fontId="9" fillId="5" borderId="1" xfId="0" applyFont="1" applyFill="1" applyBorder="1" applyAlignment="1">
      <alignment horizontal="center"/>
    </xf>
    <xf numFmtId="0" fontId="19" fillId="0" borderId="0" xfId="0" applyFont="1"/>
    <xf numFmtId="40" fontId="9" fillId="8" borderId="0" xfId="0" applyNumberFormat="1" applyFont="1" applyFill="1"/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4" fontId="9" fillId="9" borderId="1" xfId="0" applyNumberFormat="1" applyFont="1" applyFill="1" applyBorder="1" applyAlignment="1">
      <alignment horizontal="right"/>
    </xf>
    <xf numFmtId="4" fontId="10" fillId="7" borderId="5" xfId="0" applyNumberFormat="1" applyFont="1" applyFill="1" applyBorder="1" applyAlignment="1">
      <alignment horizontal="right"/>
    </xf>
    <xf numFmtId="4" fontId="10" fillId="7" borderId="4" xfId="0" applyNumberFormat="1" applyFont="1" applyFill="1" applyBorder="1" applyAlignment="1">
      <alignment horizontal="right"/>
    </xf>
    <xf numFmtId="4" fontId="10" fillId="7" borderId="6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10" fillId="8" borderId="4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8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center"/>
    </xf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3" fontId="10" fillId="8" borderId="5" xfId="0" applyNumberFormat="1" applyFont="1" applyFill="1" applyBorder="1" applyAlignment="1">
      <alignment horizontal="center"/>
    </xf>
    <xf numFmtId="3" fontId="10" fillId="8" borderId="4" xfId="0" applyNumberFormat="1" applyFont="1" applyFill="1" applyBorder="1" applyAlignment="1">
      <alignment horizontal="center"/>
    </xf>
    <xf numFmtId="3" fontId="10" fillId="8" borderId="6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right" vertical="center" wrapText="1"/>
    </xf>
    <xf numFmtId="4" fontId="10" fillId="11" borderId="5" xfId="0" applyNumberFormat="1" applyFont="1" applyFill="1" applyBorder="1" applyAlignment="1">
      <alignment horizontal="right"/>
    </xf>
    <xf numFmtId="4" fontId="10" fillId="11" borderId="4" xfId="0" applyNumberFormat="1" applyFont="1" applyFill="1" applyBorder="1" applyAlignment="1">
      <alignment horizontal="right"/>
    </xf>
    <xf numFmtId="4" fontId="10" fillId="11" borderId="6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center"/>
    </xf>
    <xf numFmtId="3" fontId="8" fillId="11" borderId="4" xfId="0" applyNumberFormat="1" applyFont="1" applyFill="1" applyBorder="1" applyAlignment="1">
      <alignment horizontal="center"/>
    </xf>
    <xf numFmtId="3" fontId="8" fillId="11" borderId="6" xfId="0" applyNumberFormat="1" applyFont="1" applyFill="1" applyBorder="1" applyAlignment="1">
      <alignment horizontal="center"/>
    </xf>
    <xf numFmtId="4" fontId="6" fillId="11" borderId="1" xfId="0" applyNumberFormat="1" applyFont="1" applyFill="1" applyBorder="1" applyAlignment="1">
      <alignment horizontal="right"/>
    </xf>
    <xf numFmtId="4" fontId="10" fillId="10" borderId="5" xfId="0" applyNumberFormat="1" applyFont="1" applyFill="1" applyBorder="1" applyAlignment="1">
      <alignment horizontal="right"/>
    </xf>
    <xf numFmtId="4" fontId="10" fillId="10" borderId="4" xfId="0" applyNumberFormat="1" applyFont="1" applyFill="1" applyBorder="1" applyAlignment="1">
      <alignment horizontal="right"/>
    </xf>
    <xf numFmtId="4" fontId="10" fillId="10" borderId="6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center"/>
    </xf>
    <xf numFmtId="3" fontId="10" fillId="10" borderId="6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3" fontId="10" fillId="7" borderId="5" xfId="0" applyNumberFormat="1" applyFont="1" applyFill="1" applyBorder="1" applyAlignment="1">
      <alignment horizontal="center"/>
    </xf>
    <xf numFmtId="3" fontId="10" fillId="7" borderId="6" xfId="0" applyNumberFormat="1" applyFont="1" applyFill="1" applyBorder="1" applyAlignment="1">
      <alignment horizontal="center"/>
    </xf>
    <xf numFmtId="4" fontId="9" fillId="10" borderId="1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9" fillId="10" borderId="5" xfId="0" applyNumberFormat="1" applyFont="1" applyFill="1" applyBorder="1" applyAlignment="1">
      <alignment horizontal="right" vertical="center" wrapText="1"/>
    </xf>
    <xf numFmtId="4" fontId="9" fillId="10" borderId="4" xfId="0" applyNumberFormat="1" applyFont="1" applyFill="1" applyBorder="1" applyAlignment="1">
      <alignment horizontal="right" vertical="center" wrapText="1"/>
    </xf>
    <xf numFmtId="4" fontId="9" fillId="10" borderId="6" xfId="0" applyNumberFormat="1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38" fontId="8" fillId="14" borderId="5" xfId="0" applyNumberFormat="1" applyFont="1" applyFill="1" applyBorder="1" applyAlignment="1">
      <alignment horizontal="center"/>
    </xf>
    <xf numFmtId="38" fontId="8" fillId="14" borderId="6" xfId="0" applyNumberFormat="1" applyFont="1" applyFill="1" applyBorder="1" applyAlignment="1">
      <alignment horizontal="center"/>
    </xf>
    <xf numFmtId="3" fontId="8" fillId="14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" fontId="8" fillId="14" borderId="5" xfId="0" applyNumberFormat="1" applyFont="1" applyFill="1" applyBorder="1" applyAlignment="1">
      <alignment horizontal="center"/>
    </xf>
    <xf numFmtId="3" fontId="8" fillId="14" borderId="6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>
      <alignment horizontal="right"/>
    </xf>
    <xf numFmtId="4" fontId="8" fillId="9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4" fontId="10" fillId="8" borderId="5" xfId="0" applyNumberFormat="1" applyFont="1" applyFill="1" applyBorder="1" applyAlignment="1">
      <alignment horizontal="right"/>
    </xf>
    <xf numFmtId="4" fontId="10" fillId="8" borderId="4" xfId="0" applyNumberFormat="1" applyFont="1" applyFill="1" applyBorder="1" applyAlignment="1">
      <alignment horizontal="right"/>
    </xf>
    <xf numFmtId="4" fontId="10" fillId="8" borderId="6" xfId="0" applyNumberFormat="1" applyFont="1" applyFill="1" applyBorder="1" applyAlignment="1">
      <alignment horizontal="right"/>
    </xf>
    <xf numFmtId="2" fontId="6" fillId="7" borderId="1" xfId="0" applyNumberFormat="1" applyFont="1" applyFill="1" applyBorder="1" applyAlignment="1">
      <alignment horizontal="right"/>
    </xf>
    <xf numFmtId="4" fontId="8" fillId="12" borderId="5" xfId="0" applyNumberFormat="1" applyFont="1" applyFill="1" applyBorder="1" applyAlignment="1">
      <alignment horizontal="right"/>
    </xf>
    <xf numFmtId="4" fontId="8" fillId="12" borderId="4" xfId="0" applyNumberFormat="1" applyFont="1" applyFill="1" applyBorder="1" applyAlignment="1">
      <alignment horizontal="right"/>
    </xf>
    <xf numFmtId="4" fontId="8" fillId="12" borderId="6" xfId="0" applyNumberFormat="1" applyFont="1" applyFill="1" applyBorder="1" applyAlignment="1">
      <alignment horizontal="right"/>
    </xf>
    <xf numFmtId="4" fontId="9" fillId="3" borderId="5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9" fillId="3" borderId="6" xfId="0" applyNumberFormat="1" applyFont="1" applyFill="1" applyBorder="1" applyAlignment="1">
      <alignment horizontal="right"/>
    </xf>
    <xf numFmtId="4" fontId="9" fillId="6" borderId="1" xfId="0" applyNumberFormat="1" applyFont="1" applyFill="1" applyBorder="1" applyAlignment="1">
      <alignment horizontal="right"/>
    </xf>
    <xf numFmtId="4" fontId="8" fillId="14" borderId="5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/>
    </xf>
    <xf numFmtId="4" fontId="8" fillId="14" borderId="6" xfId="0" applyNumberFormat="1" applyFont="1" applyFill="1" applyBorder="1" applyAlignment="1">
      <alignment horizontal="right"/>
    </xf>
    <xf numFmtId="4" fontId="9" fillId="14" borderId="1" xfId="0" applyNumberFormat="1" applyFont="1" applyFill="1" applyBorder="1" applyAlignment="1">
      <alignment horizontal="right"/>
    </xf>
    <xf numFmtId="4" fontId="8" fillId="14" borderId="1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7" borderId="6" xfId="0" applyNumberFormat="1" applyFont="1" applyFill="1" applyBorder="1" applyAlignment="1">
      <alignment horizontal="right"/>
    </xf>
    <xf numFmtId="4" fontId="6" fillId="8" borderId="5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4" fontId="6" fillId="8" borderId="6" xfId="0" applyNumberFormat="1" applyFont="1" applyFill="1" applyBorder="1" applyAlignment="1">
      <alignment horizontal="right"/>
    </xf>
    <xf numFmtId="4" fontId="17" fillId="8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right"/>
    </xf>
    <xf numFmtId="4" fontId="8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" fontId="8" fillId="10" borderId="5" xfId="0" applyNumberFormat="1" applyFont="1" applyFill="1" applyBorder="1" applyAlignment="1">
      <alignment horizontal="center"/>
    </xf>
    <xf numFmtId="4" fontId="8" fillId="10" borderId="4" xfId="0" applyNumberFormat="1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4" fontId="17" fillId="8" borderId="0" xfId="0" applyNumberFormat="1" applyFont="1" applyFill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4" fontId="8" fillId="5" borderId="5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5" borderId="6" xfId="0" applyNumberFormat="1" applyFont="1" applyFill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E1ABEB-F449-4390-99ED-492DD6A4155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3F762-9035-4A25-A978-B3C492A1607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5F28F-4696-4AAF-ACC9-2DC8E72A876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0563DA-F607-4140-B010-587A745DE39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BF998-0247-469D-A64A-E248A528AC2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54789-D229-4BB7-BF36-8941A7B7CE7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AC609-525C-4629-ACA6-38900A621C1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4D6D2E-481F-4C92-BD7C-25049BA6DCB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FB02F-2498-4DD1-B79A-83E1F9F43BB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D49D2-05EB-4B2C-8267-DAED1610145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AEAFA-3988-4253-92D6-BB86AA56076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1C8ED-FBCD-4AB2-9677-206FCF859B3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5042B-B1FB-4A28-A4DB-32417C968E7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72169-43DC-45C1-9EB2-FD8BB45D419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294DE-965E-40ED-A343-738DA258DE3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4FF72-5016-4709-AACF-923697125A4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158F0-992F-41C2-B7BD-5F31E06C99D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7EEF4-B01A-4246-AEC4-EF7AFC1884B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389171-854D-41AD-95E4-3F05D797A18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8AB5F-6CB1-4E1F-BF5B-23A34F2B198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40477-5F57-44C6-8D1C-350295C4203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C4368-C4C1-4A1B-A4B3-6BCCD424A9E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36128-1513-479B-A00C-E6C321F1234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684C0-80BE-47CC-9030-BFC0DB63D80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9221C-6563-4469-B70E-42F11643BD3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F856A-F476-4A16-B668-6D3DD707ACB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B93B0-07DA-4EBE-B314-FAB662FB9F7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CAF92-D424-402E-BE69-598EE043AB2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D5BF1-0304-4296-AA4D-87426C6CDAD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69B26-9FD5-414E-A10F-0BC0EF1178D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DBD39-B9CE-4135-BE4B-FF50BFFD164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3000D-A3E9-4060-B50C-16FD787E507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B9D96-41D8-423C-BDBA-7E9D40D2BDA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2232C-573D-4B66-8A4E-8BFD3073A30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F1D19-901F-47C7-AE62-E6E04996CCF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095F5-B8A8-4FB5-BE05-067BC6BA9F7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8C7B8-03FF-402A-B9AA-73B875E106D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93334-7F0B-44EA-A2E2-FE8C3C286FF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74C24-98B0-4BEF-B8F0-6CB2D267B09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AB6F8B-9E05-4148-943D-16FE61C61B3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4E781-30B5-47BB-87B8-B61873B22B8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F1FE0-C8D8-4C34-93F4-9EA48F97049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AF378-0D86-42E7-96C1-457A21128DD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04373-E71A-43E4-9683-D348ADDA195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F26BC-A650-470C-971E-811452BAAC3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5C0F3-B3E7-4665-8C92-CD88586A826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4A45F-0F11-4268-9AB1-3CAFB5675B1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EBBC9-B7B8-471F-A2B4-76BFEB7798E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1B56F-2618-4A8F-ADFB-5626F9CA4A7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00848-C6E8-49FE-8F9A-A9CAE8E53E8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C0FBD-64C7-42BB-8FD1-ED2DA1DD244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A0A21-8894-4918-AC78-A5EDB1BD245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F59F9-BA57-444B-9651-AD785A37D88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929A2-6CBD-406C-9264-4F796C91FDB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54ECE-D963-4CFC-8619-59C94E7CEE5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5B1C2-D3C1-41CF-9906-C9DB80BAC8A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964FE-DACE-416B-8550-15CB067105F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C167B-08C5-4F45-885E-E4E30C20750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568FF-49E3-4551-AD88-AC028F0DBAB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75279-1D38-43E6-B325-67B46D3899F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8D77E-8B8C-4B5E-84E2-2311E6D0812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3D8EE-1FE9-47D2-B43A-7296B299EE4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80BFB-EAB7-4C8B-9921-921A2930BD7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42BE8-EDDA-409B-AAEF-4A3CBC84CC1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DBD9F-B20F-4FB2-B75E-8ED727B01C6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51377-7D74-4645-97E8-2A424E14047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6A0B9-8616-44D5-9F67-7694A47BD2D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41D7A-8CFE-46B2-A871-1689A4EDE4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237A0-1048-4BD8-85C4-15D3A72BE8F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41DFB-F88C-4E70-A5B8-960A77A1D73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B60E0-A4FE-432A-A01E-DA40E73498A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EEAA6-318F-4210-A4AA-E0E5FCA427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B9C93-8988-4CCD-BC0D-E996A1CB682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9C899-BABE-4E7C-8C0E-448CCAE7E8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F1D58-28EC-4004-8BA0-156E1D937A5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3007E-8F5E-4CD7-B852-A30BA3997F7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250B9-D66E-4E51-9051-E29540B034A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8781F-45DD-46FE-A18D-2CEFB4E2BDD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491DF-743C-40BB-92D3-9C4302DA16C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93D174-16D2-423E-8D3B-63F48931F3B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59661-11FC-44A9-B910-84DD48DFB8B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F58C5-BEBF-4B5F-873C-584E105D4A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BE1202-9C53-4A13-8248-EC812A3BD8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050B8-992B-46CE-BE59-056DD813B0E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65302-4599-431C-9DD5-1B9B63221E1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A0D84-6425-4CA5-A746-0108FF1F1D2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EEA57-7EFE-474C-8C98-F7393F556BE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A251B-7E22-40EA-AFFE-103E69147F7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87A29A-31FF-436F-B302-0F9ED05387E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3A342-8DDE-472A-BF07-1F53DE4408A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2232A-E3E0-474F-973B-0A512EF92C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6EA01-A33F-43A2-91BD-9E569C741A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56112-B9FE-4D40-AB49-D3401CC02E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E9054-67ED-4FDE-9F5B-D8D222CF04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92F8A-36D2-45E2-B761-2483CA20409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E3DE1-58A8-42F1-93BD-B677270C81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9D417-1892-4E0E-96FC-E3B24315CF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FFD0E-22EA-47E8-B3E6-3D53CE2E54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8001F5-1A36-4C75-80E7-1CA4CE6BF6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2277A-B0B3-43B9-9BC0-F3A8A94A007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48DCB-0FB3-4DDB-94E7-28E574D233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3FEA3-4911-4F37-B656-603607042AC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99CCA-4023-423C-97ED-71820DCADA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003A0-3682-4AC9-A5D7-A1F6885CC1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5FD7E-DBA9-4AF5-B01B-8F13239E6A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A7FBD-CF25-4E7C-A87D-E1E13F3DA1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ED57C6-3594-432A-BFA1-9B11AC5074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9F71F-B87C-4D29-B613-E55F4A203E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3D720-8100-4F09-B4BE-F1921B58CB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7310B-8ADE-4DE1-86A3-18E5544210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21D76-BFA3-4524-AE7F-62D3E162D1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2CA9C-FFB4-4481-9CF2-374E8D0DBF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47F9A-0B2E-46A5-9D7C-A00480393E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BB841-00DF-4B1E-BA75-12D1066C74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7C21D-08CD-46ED-B69B-CDCE21E31D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D7274-01D9-46FD-A3AA-E10C6D35E3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F0E16-A9F6-4DD9-96B8-FEDE306F83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5A835-4DA4-4A5B-B31C-D5EC20541E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270A0-C529-4969-A002-C674210684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E69C5-D581-4F79-A269-7147491F319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0F259-1059-4082-8666-354A61C562E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8D85C-A24D-4580-A8F8-6B18C28E217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58366-A3A4-48A2-8649-FC1B118E0EA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BFFFD-DCC9-4D3E-8D1D-EB012D52825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D81DF-ACAC-4C73-9932-1A50F0BD6BA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C5849-9FA0-4B35-AF7D-89403A4D3BE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9AA0A-B8A4-4ECA-B8EB-D3B36419ECF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AB239-4271-4AEE-B9C2-A49FDADF43F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0A93A-1BBF-48CF-8018-7E8A2A918C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D8C97-2110-4591-AFEC-3711D01D1BB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C7792-8F43-4CEF-8706-E5A42150D5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242CA-BF5A-483D-B0EB-701F3E300C3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AF9AD-6382-42B9-90BA-18CAF3A11A4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5C3A2-FAFB-4A6D-8E45-9AC5C089931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3FF86-2449-4F3B-8FFE-CB84C08F811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AA7CA-A227-4B00-8C75-CC3E6F20E9A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7C696-BCEC-46C7-B2D7-73386810364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6CC235-FD22-4E44-8B9A-853DC891A48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1DE61-705B-4972-A789-C5999CBFA3B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EAE3F-CB49-421C-B333-D94B5A7FC3E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435B8-54F8-4B57-9952-C17993CEED3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00FE0-8124-4772-B660-32157B1E49B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1C796-1B5E-4D40-BB00-7C4F6C57146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F8734-58B6-489D-87EF-3DBCEA1B5DC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206FA-01A7-42C6-8B15-593B87C2137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EDD99-E2A2-4828-83E4-46BCEC74E78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BBC7C-3230-4760-AE78-93568203FA8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9EC9F-D359-4AEE-A21A-0510BAB2252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76929-7FA4-462D-8B21-1C5EF268133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DF3D2-7EE3-43B7-91A9-8E3244CB293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8187A-0142-4479-A511-B95DEE4E714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3735B-D45A-43F5-98F2-C90434D564B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10E37-286E-48AC-BF0A-BE2AD4DC48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57915-941C-4CB7-8FD7-6FCA8E212FC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6689A-78FB-4A14-A198-31317E9C50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A00EF-5107-4934-8BA6-E3E58079EA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1EEA0-0158-4379-BB7C-45153364AE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F147A-CC14-4E53-844B-66D2DD2C733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5A3A6-BBAD-46C3-9128-65148A2085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38870-9E87-4D59-8CA8-CA76EE2570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E9F0D-F174-43CB-B280-62B42CD2EC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B87C8-8140-46BB-A92E-5F4F5BBD73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273DA-5933-4069-86D3-DCD959618F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B61FA-5C1A-419D-93EB-7BE025A3C1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CA6FF-B7D4-483C-A162-5AC3627392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05008-C5D9-4302-A336-C8ACAC8EBA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676AF-B77F-4359-B01C-E74155C09C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2EE10-3C18-4824-BA5F-78AFC46199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6E3C8-0E7E-49B0-9175-7D48C82474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F7CC41-2A3C-4DC6-813C-D01D9EFB89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83BFC-F59D-4C53-AD2C-56E18D6E9F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5E08C-5E88-42EC-B04F-421E3863CD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BB388-4FD6-46D7-BE03-259D1A37F3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CE4D7-3A32-4880-A76A-61834277FF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9C924-838C-44EE-AF68-36DE1E1FD3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620A5-F25C-4583-B933-E1E043B0E3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73E67-D101-4336-B4A0-37B125EE84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8F716-9FA6-45C3-95EE-4237691C01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9E17C-F699-427C-9DA8-03E9B778F3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FCDA3-8B54-4F9F-9704-7828675506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702C4-936E-4064-8CFC-EBA4BE2A77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53599-F156-4C78-841A-E83730A6BBB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2FF87-4D6B-47CD-934F-ADBC6290E9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6A043-FBB8-42F0-B787-37E9A352C5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8BDDE-1B2F-451B-BDF5-3EAD5CA1C7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0ABBB-CD93-40A7-AAA6-88C86EA9D7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408EF-E470-4065-8A5C-CAD15341DD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DE3144-923E-4B2E-B75C-C8CE7CCE75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2EA9F-82BB-454C-80CD-E590DF28F5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DB1B7-5792-418A-A880-A3EC325A2D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96E9CC-CAD1-468A-9296-D55B8A1B24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D1306-F2A6-4811-9CF0-5F279E69E3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C819E-7E1E-4CAA-986D-AE254B37DE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37B44-EF88-4815-97A1-057C329216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79B61-E6E0-49A7-881C-6AA9B8F29D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1FB66-9E2A-4590-8A4A-AF841A1D2DC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0F759-4DA7-4DD4-AA67-6338A87894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97C41-A7BF-4972-BF6F-8086D4B520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82684-431F-4BB6-B418-8015C6DAA7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8DBCA-6C93-4413-A144-7BDDE566B4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1C505-514F-4900-9B5A-7EADEE0FA2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82772-F830-45AF-AF2B-57D46D085A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5FEAD-CB54-4935-9DB6-52FA765A6D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479B8-B715-4042-B9DF-B255732DC0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32A7C-B3F6-46F0-992F-8712CC7E60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3DF64-AB02-4C7B-96E1-06E2ED6425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B3132-6B6B-4082-B038-389C6AA500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88023-ACB6-4F8D-8735-1B78C17CE4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DF968-5CB3-4C27-A6C5-5A6BDAD3C7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31781-4CE2-42D7-9E23-1514276B31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A5E17-BE53-4D5A-ABD4-4E255B23A9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9F402-840A-4034-AB59-4CCE232784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414FD-FDE1-4002-9807-8E2AAD1F71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916C2-0C39-40A9-B3A6-6255A8CC7B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879D5-6DEC-46A1-9329-93EFF81C13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EEBA6-B189-4D90-96D5-0D6963421B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3C55F-8214-4B37-9E43-0638772C29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83157-7600-4E3D-A637-7DAF3EE4C6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53239-7155-45FC-9C7B-53F7C62187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3B894-8A88-4C9E-83FD-9862333DD2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85BD4-83BF-44A8-B520-72A27E3F49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C4F21-BE58-4FB9-9E09-AA08C4C43F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EC3B9-ACD9-428F-A298-2F3324887C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4DE86-53A2-456F-8293-F0E6AD83D1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AA514-4BE1-4AC3-B077-E3CC09BF74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3527C-35DA-4BF8-89A4-55DB6E6BF8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58B5A-5610-4BEC-8EAD-B60FB1AA3B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FE858-4699-4B5D-BB2E-162C80B10F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1CCA4-9BAD-4127-9DE7-EC02CAA968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AF728-23AF-4C9E-8404-1986A4FB28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526F9411-A576-4BBA-ABA1-9403760EB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2854" cy="676715"/>
        </a:xfrm>
        <a:prstGeom prst="rect">
          <a:avLst/>
        </a:prstGeom>
      </xdr:spPr>
    </xdr:pic>
    <xdr:clientData/>
  </xdr:two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2410F-4D24-44B3-92BE-957F212F561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01BFE-CD91-41C5-9560-78092BE1F95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8BBA8-A334-4725-A393-6D457883064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6523A-46C6-4427-9191-CA83F491FA1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B594D-6180-42B6-8DF1-7B28D4D5234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3BFE1-5BC5-4DA2-A473-618DE635E3A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033D6-169C-4327-934D-660F187BD4D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E05D5-0575-4A3E-A52B-7A87FB5EA03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DAB6E-7E5F-4228-9535-C3D5E0FAFC9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D48577-8D02-4C8C-965A-CF947E63BDE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F12FC-92C2-42AA-B010-6505A967CC7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3DA1F-C5BF-4AA0-B87E-D54378C085E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1DC31-2383-49A6-95E7-255F5593C41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3EEFB-6873-4424-8C23-C51F47952BA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F098A-321D-48B8-94AF-C3EF4FBC511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EA606-99E6-43BF-B69C-16FC5AB6E30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7FDE0-128D-4C27-95E5-450619C178E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3068A-D5BD-4CA0-9B35-77936967239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62607-C68A-4DCE-82BA-F8FCDF9D8E3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AB214-4027-4E63-87BA-88FA27DEEE8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2D230-E54A-437E-936E-F203D0E2EA6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23CD9-5CD7-4778-AE15-6D35A4CEC12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5887E-167E-4BD0-9AFD-09B2EB41080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12051-1FAC-4E86-AD7D-4A7291C86DE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4CEE0-1164-4E3A-B2A0-F89D6991A71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B7714-21C8-439C-8299-2C5C409BED2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6D8A9-F501-4CF2-A4F8-34DA9A6F734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1DD19-6CC7-4480-8C0E-84F3C5F4AFF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D5472-660A-4288-A84D-663D3799EA3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A3B06-4C11-4FE3-B81E-3A8F04A8716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F5A3B-7C45-4FB4-A25A-D0027E787B9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80775-8428-4218-B29D-2E1A324F397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81FD9-4325-45F2-8F51-1CC1E90E47B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FA382-84E0-4F59-940E-D20F51C603A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98F12-C879-4314-8AD7-990493D84B2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A9E2E-16D4-4D1B-BFED-FFB98090C2C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6208E-9C99-40F4-AA70-CCB1BA92DB3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C2DC9-5178-4DE9-9A19-EF364F789B9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FD1E7-557D-4521-995F-BCBE7FCB0D1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9EA54-E3E6-434F-852A-C56AEA3EB48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34425-A1AC-4FC7-89F0-3C4122D1EC9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6EB8C-E834-4E44-B923-43C14012366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CDAB76-B03B-4C97-8668-FFCED86B688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24332-C24A-43D5-B273-C6D8C7FE954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40C3F-4AD2-4748-A809-7C7C8DDAA9A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43CF0-666E-4DD0-A093-41900D18B09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FD300-B49C-4769-BD88-47F58EE4224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B76A1-2CD6-410F-A4EE-9807A50CED1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0EEDA-E44F-423B-9D8C-ECB5E22443D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F0EED-C06C-41A9-AF63-B69EA4EA5DD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D5C1C-BC17-4467-B5A6-559ABFC67A1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12D80-250C-4EBA-81D6-CAC0745294F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2A5A4-9F85-4E37-B6DD-2AE92644EE9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18865-FC82-47DC-8D10-19E7D887544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CA92D-76BD-4EA3-B96E-325D102D302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4FA98-068B-48C5-A4CA-D80FA0E6F6A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3841F-3DAF-4CDB-97F1-67AB6D7B35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C4238-BEC9-4FDF-BA4F-D3E6E23B41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6F0403-451C-49E1-8F74-87B66BAF73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F75C5-9AE2-4031-A14D-A2EC1F85FE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88895-8F44-4505-832D-AFC1E63FE9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66AB2-69A6-4489-81FE-261630E84E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62A34-D1A8-443E-8389-FEE5D06DFE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49C0F-DC46-4D3A-A7A0-2F601538C5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BAFDA-C69B-4919-A157-B5ABA2E0BE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74FF9-BEF4-4FE6-BCDB-8FB3A9F797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88B49-C937-4542-B549-3EF4089737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F1E34-3FF2-4A9E-A818-743DDDCB50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BD3B0-5E0E-43FB-94CD-619E197D45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31ED6-6054-4CD9-AC85-415436AA93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9985A-09F5-4362-88CC-4B4CCB8A31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8C7A0-9A5A-4A2E-8ED9-9F3BA6D60A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8956B-3E2E-4443-A0DA-7382B0B0E5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6BD53-FB69-4EE2-B491-6A88D11646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BE3CB-01DB-4C4E-8C19-3BCCB88B53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A82DB-B66D-4567-BD10-E86AE14E2C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12C12-73EB-4352-8827-40FD13021C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EDAAF-96EC-4636-85B6-B80FCF2BE7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866C3-5EE1-48D2-8575-9BF48543B1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48C71-D8EA-4620-B84B-255CC6F176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8ED693-66CC-473A-9DB9-B1FB220D37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D472F-76AC-49F8-B140-56148B8CDF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80616-667A-4680-B23B-F794FD6ABA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35C3C-2FE9-4C74-B312-23CE54901A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872B9-F61B-48B8-BF35-D3F07DA788B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53633-5C00-441C-A494-DFD610829C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10633-C010-4F37-AA7D-5A1FB99D7F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CFE35-8A68-4653-BD83-060D1412AA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BE199-22C4-4A56-A468-8307FAF489E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F9F49-111D-4450-95E2-1A2A97B4F36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17ECB-E759-4AEE-80E2-BA17983F54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D668D-481C-49CF-88C9-196A5CF314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6F8FE-C599-4A9B-BC4C-6EE05C3652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36CFC-049F-4DCD-829E-07C1AE9654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F974C-68FF-4F46-B143-AC741F12D4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1AC76-0BAD-4C74-8397-550EC17E05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B94EA-15CB-49DD-AFD4-16B1449A2D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876A6-2718-4D83-9FEC-EE56C6870C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10B5E-CF2B-49E5-8604-D0D9FA0D35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B4C6A-6060-4A33-B07D-9977673A1C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55593-3CAA-4A75-AD4B-9FCCB1421D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9DFB4-EE9C-4D02-B076-654BD12A01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DD5D9-3FD3-4025-A315-13E31F4C9C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5311F-EA90-4FFB-8D31-6020FEF9B8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F2D99-E919-4EF3-ABE4-D6C991CDC4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B1CBD-FC1C-48B2-824D-F06093580C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19F3A-699C-43F1-81C8-AB377320E7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4D25B-7582-4C17-9C8A-6E7CFA7413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A6594-4A34-4E61-B6CB-52A6123160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48EEE-3AF2-412E-B018-E45B0D8FF0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CFD4D-A5A3-4640-AC18-04B89BDE5A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993AB-4378-4231-8894-D2EB08A96D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4EE28-A769-4183-BF2B-AD002CBF30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D4E5F-32E0-482D-B784-3174C9766A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F0442-777A-4B54-BA7A-065840FFC2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35480-AF2A-4EC6-B4AE-1D32B20BB8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8E195-9DDD-4192-AAFE-E90B2AD153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00810D-2F42-4AE0-B9CE-451C90895D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5EC06-1E28-4BCD-BD31-D9FE8507DA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44969-0AF3-439A-B4C4-00727374375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3578B-E011-41CC-AC4B-6A66B39A86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58FFE-55A6-48C5-8628-C0C0087BEB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8E1AD-9D4D-4DFB-82CB-DA99BE48C6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FA2BE-A273-4D55-8F54-0A09E65E26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FE63C-C2AF-4D93-9657-524504E7EC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229DA-1E2C-4258-8ABF-D8EEBED0AE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1BC0E-F627-4C64-9DE6-55BEE5A0B1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39D1B-7449-4CC4-A359-9BD7B64257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D22DB-E554-465F-8346-3444E58B73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C52A0-78E3-44FF-8B60-E1DFD0E094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F2BD3-74D3-45C9-903A-46DE8F76EB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0BD46-2956-4113-9499-76ECB678A8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2CC27-DCAE-486A-9C3B-2DD2F13DA8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D0481-B342-40D4-8858-47714FC08F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CA894-1EFA-43BF-816A-4864F9C04A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F4441-5895-4E02-82F8-6A51EF7F5D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9A335-E959-4259-9900-7CEF2C2B7E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48E72-DC86-4419-8837-9E00C5DEF0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35C9F-359B-474E-9FFE-42F31D3431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C03F7-94B9-499C-8CBE-A5E64DB8A3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C1114-AD5A-4A98-979A-6533EB2BC0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CA3F2-4F2D-4A70-9584-582C72F870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CEA73-50CC-4CBD-B438-0D2AD93F69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96D35-961F-4AFD-8157-7CA5562DC4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A69C18-D61D-4784-8189-D425A9CB8B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199CA-F2EF-452E-BD19-F51D343716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DE7A4-8715-4A44-93E7-016A1BD2CE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7F169-EDFC-49AA-9AAD-7EFCE63FCB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84D6C-5905-4215-B82D-84E66B780A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03A2C-6974-4C79-983F-0FBF0F62A1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D9B34-134B-448A-B0D3-A5065892E3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BD2AF-872D-4773-84BE-0C4B4FE6F0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DD0E3-B205-411D-889A-658FF4054C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9CD90-5FB7-4862-BDD1-3DE22720C7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7EFC5-4298-4757-A10B-048495B7D35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448DA-ACB0-400C-B823-257C0F1D21E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481BC-0ACC-429F-A928-78C37C3E08F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5BDCF-6903-4813-8FAB-968A951FC87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49B79-7AD8-4CE5-9372-C3458D62693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D6237-10B1-4ECF-AD3C-90548740341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50F73-3DFA-438F-98AC-890BA7FE4A6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2C317-5B21-44C8-A136-CE6CF502EDD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7FA77-61F2-41E7-8FD6-152217717F78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1A37E9-DEF3-47D8-8006-64795D1FC85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973B1-51D8-44D8-BEF4-4C28A0FF2B0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3568B-F2AF-434D-8EEE-F1CE3C10504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6F1F4-A120-4153-BD46-1DBA3FB493F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4B13C-FDE4-4720-9228-7078256510A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0D4CC-5EA7-4A20-BB91-E828C4E3687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180B5-D4D8-4B0D-B53F-F16C897D4B8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2B82E-95B0-43E7-97A2-282361E34E7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9B6B3-82DB-4505-B408-3CE7DC079E3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7A240-09CB-46AE-9CA3-2316C63CB4D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80B27-9CEB-4493-9EFD-DA6AD55C47D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63343-868F-485D-B51B-B2A156E99E7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96205-8780-4AE9-8305-F6A9C4C9DCB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DA12B9-46D5-4B2C-BA80-EDC0E82BBC9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FC3C7-A545-4BA2-857F-89F5B1EF397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9BEF2-C69A-47C3-96E1-D3952A67D36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C1DBE-08A5-4E6A-A629-17981417637A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EB2FF-6EC9-400E-96DD-B08677B47C3C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2B896-D8F1-4EE1-9107-F3EF0419507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BF312-9FC0-4872-929C-50835CB54B7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A3FF8-A31F-41EE-A820-3C3AC00A847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41A72-7FD4-43FB-BDA7-BEB6C21DD082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313F2-F968-4785-855B-B0E96F48818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58F27-0525-424A-AED2-B5CFB2C34F2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B4681-150A-4A03-B79D-B7257D9EC0EE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61231-BBBA-47A2-8CA5-9F4130F3A2D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9054E-04F3-4407-9B6B-C71AAB72AD1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68567-689C-4B8F-A9DF-4F63603320E7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C16B2-1D3A-4CCD-9E7F-E8930CB067E9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B2EB56-22EC-4094-9C7C-79F019183C8B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6E5B9-70E8-4E23-9433-EC7ECBC7A993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17255-8AA2-4CAF-A71B-052257DAFF6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EB33E-201A-4F4B-80F2-BAFAB4D6CE31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9F11D-3316-4458-AE1B-FBC1836F6735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E973D-2FDD-4DB4-954E-8997F1BCFFE0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F1079-EAA3-4FC6-BC67-BF9DFF66FFE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1D458-73FD-4D5B-9D6C-A35D1DC205B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6523E-4341-4C87-896F-E686A781D99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A4964-E209-44D0-AF3E-1F11557123F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7F109-C25F-48FF-AC10-5619460C525D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6A6A2-3D44-40D1-A9AF-030DBB1FB946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A2FEF-B830-4674-8A6C-95F17C87BC8F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3AE36-297E-4636-BF7E-A855E3B872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6430C-CFC4-4169-B162-6072BDB0F4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80E03-B8F6-4CB8-B2F3-D7CFE18FE4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BEBAF-CFDC-48A5-B4B8-38C85AE1A3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AA74F-C2EE-437A-AD6B-864A2BB898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72082-83D5-4944-B316-E492142304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875FE-3F5C-480E-92AA-76DBCD2D0B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30BA6-784D-4500-A375-7E06AEF092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302B7-0D75-487C-A223-E61D4E3D6C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C4BC5-9C83-4012-B19D-D1F23CC7E9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C73F7-CB31-4371-AB5C-1D7EFE15C53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FA220-9DAE-4F7D-B22E-B4AEDB94A8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87821-F68B-4CB4-86FB-C353723B38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552F3-ABFA-431F-8C36-7ED684F0C8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85D44-22D2-4595-9B5C-89FDBC652B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34D18-442F-4B47-9199-A166E1C130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4B69F-DCF5-4D4F-A1B9-0D07CBCCE9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332F0-6E92-4F70-9DD0-30DAF9EE62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3A272-0E1F-4B50-A9CF-E2AD80DC19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F6C76-FC2A-4B6F-824E-5F200B0405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88EEE8-62FA-4B34-BDA8-C9B9B1AC54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3C973-0416-45C5-B3CD-2B54E55E28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A40E6-3562-47A7-9D9A-AA7D53E1AE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502C4-245B-42BF-AF79-28148ED138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AB8A9-E4E6-4EF9-BC2E-F4FA356C9F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D3E01-E853-401F-A06F-0410301F78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B162C-800A-4537-8FF7-E727E943E3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25B86-96C9-4BC0-B17C-147A6CABE3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5B845-95A5-4220-B554-5AA900F8F0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33A34-DF20-49CA-85C7-56E09CF0AB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F992C-DD4B-4DA3-89A7-3837292570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44AC2-F4BB-4CB1-A5F5-ED744085CE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09D4E-EB3D-459E-9B45-ACDAE6FDE4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859CB-9BF5-44BA-AB42-BD02373ECC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9AD3C-1044-4A40-B328-834C8BD02A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42000-E6B4-4739-BD19-146E9ED22E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155AD-E64B-467A-8E34-8FCEBB9AFD5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1C015-B1C5-4697-ADEF-B1663F8D05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49EAA-5CB3-4ACD-8DEB-DA556DCB9F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A3DEA-F425-4B22-A86A-B1ABA21808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DD828-6705-4430-BAC8-05865FC50F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BBAEE-CABC-44C0-92D7-7707FF6ACC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9F7A6-E6B2-41DC-9A7A-CF691FC32EA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81525-6438-4822-9420-58A2227F18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3E5C4-42D7-4EE9-8463-62DE6B75CF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707CC-DE95-4892-9CB9-0DEE84C105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44532-033F-458D-ADD5-FF48D2FF20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48A73-6198-421C-B8AF-14DAAAB443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61AB8-D582-4F31-8948-BEDAC1ACDC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0707D-6970-4CD8-9FD7-E50F7D3F07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353B9-6131-4D70-9021-8AD9C1459C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0DD47-B624-4ACE-87DF-C302F0F136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B54A9-AF86-4152-887F-C73070F985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AAE94-C116-4BAE-B901-B6125373B4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307B8-A9C0-4479-BDFA-0E7D56873B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96EAA5-6580-4323-A11A-7412AE1E91E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50BDD-25E7-4150-9FBA-740CCE3718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C14BD-E1AA-4C11-8C1C-A73A49BF02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F8A6D4-1AAA-4571-85CE-5D95DCAE67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0C313-6471-4F56-BAF2-FB4F0C33FDC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155C9-9BC1-41EC-9EB6-C806120FE0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9656C-CE18-4C95-B29A-6C6C80A92B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25C41-DBBE-49D1-900E-11FAF1A2E7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61A34-B94A-443F-B845-FD8621A8BC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A7734-AF84-4978-B515-4B3B8FB4A1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7AF14-DF95-4DAD-B7A1-FB3C865C5B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AB2A5-3F2F-4D5B-BE95-7B48680F2A3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05869-3E41-4872-AA5C-256F255D15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0DBA7-A49F-42DB-8A25-F40864D5A2A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9D596-0629-4020-A639-AF72CC2FF8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A8332-2278-4F6D-92E3-A6C2E4ADB5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38657-CB58-41DC-8530-2CA9749CA6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02B11-8DAF-4AB4-A756-D9AA1F14B76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5F122-80B4-452A-8B06-90BC15E9FD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2BF90-3467-4040-8AC2-357E20E34D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3C17E-800F-4D04-B41B-660AAC7505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41432-519D-45F3-BD44-F1A987216D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883AB-C976-4DD7-B9CE-EF67F5B44B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B216D-28EE-4376-BDAD-235F627904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F63B0-EDEC-4732-BEF2-605BBC3CD77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81BCE-186B-4E2A-978E-36AF10746C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FC3A8-4FFA-4A2A-AF08-E2945C85D8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D12DE-FD33-4EB0-AFDD-67F3C8ED7E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F4BFD-FF2B-4D72-BEAB-893136DCBC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78373E-7BA8-4869-AAE9-45142AA85C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78C19-5225-4D35-B79D-177D1190C0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B3936-EB7D-4BB8-BE8D-721A4084E3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CB4CC-9871-442C-AD38-5B8F5EB102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22B76-3803-40AD-8E0C-F017B1557D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AADA3-BE19-48C9-8BB5-66B44627BC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AE638-22E7-4CCD-A4E1-A6E3D72475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9DF28-A194-4E0C-8711-44CFAE0703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0EC1C-5EEF-4455-9A36-EF5B4A125B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E14E4-0923-4D6F-82F1-33450DA11D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659FA-EDFB-4A54-AB06-E59D3003249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15151-D250-4A50-8A4B-A2DE7E55BAE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5E03C-FDEB-4CE0-B51A-9AC0BC8F3C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FE76C-8678-45F7-AB6B-99FBC1238B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528B5-F06D-4D85-984B-04C83520A8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E2A69-D0B5-4388-9349-785AA64928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0509A-7B59-4749-8A27-7C52AD6C48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1036D-09B3-4834-B582-AF013931A9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13A35-F6AE-4ED8-90EE-758B9D582D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BB05A-9A0E-4B9E-A30E-A47CFF83C0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A29E8-14A3-4C00-9ABC-9AB916C8CD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0B0E6-1C29-4C03-8B28-7A38DB2F95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74B69-8D66-440B-B49D-3AC605E87A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70F78-05BE-4508-B2E3-59ECD13A4A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DC8BC-CB35-43D4-A4EE-C48EC994D1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CEB6E-06C3-4905-9542-C0B5C6DB1B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8DD08-FD75-4E7C-AD24-5768985000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30862-E2CD-4A98-9DA3-624F90C3CB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9B324-5FE0-4B27-8F82-DC91F8A9D6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41568-E0C8-4C77-B672-F6B86DAF54E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6B74B-4C8C-45C1-B51E-5FBFE387F58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1DBA1-E246-403F-A98C-986EC14BA2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655BA-C13C-4EA7-9CAC-C15D67DA19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BEBB2-28D8-4D7D-8F7E-3310F7F25D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9A131-2E2A-4C23-A8EA-D596B6B34B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8D038-6050-44AD-9D28-B959BBE6E40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18A2D-5392-4810-B7D0-AA25220ED6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67BBF-4604-4B36-B157-F8F8BAA2DA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7BE7FE-CE07-4790-B449-E9FDCECDBD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23BB9C-C6D2-4703-883F-F1F9B52EF17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15B39-2A79-487D-B7DA-8D784452A4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75C42-9BF4-4AAB-AF17-9FACD7247D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C354C-1A2D-4B5B-92D0-A0D9CD677F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930B7-E848-44F2-AC9F-9B242788F7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1FE49-29C6-462B-A05C-0547515C6D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8DC59-163F-4917-8210-915184E3A4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18297-F2DF-4C42-9BAA-EF124FB5B6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2A4D1-97A7-444E-A593-1F58B4E6E9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9FA6C-8624-46C4-A8DF-00237BE05F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5185E-4176-4B95-9046-744BBA17AC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D6B4D-D247-49E1-801D-E54290F78F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27B46-5424-40DE-9231-13183C4F900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3F5CC-83A5-495C-9467-258DA13BEA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1B6F0-AF48-447D-ADC6-9BB6B092BD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B426A-93C4-4ADC-998C-8DF68A22C2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0FFFB-F968-4CA6-A766-CB3351397C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D9609-EE16-4CB4-A9AA-358AEF8697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9C0EB-CD15-4F4C-AF14-C4674D67C8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25736-6821-44F1-B5E5-D4F167E40D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815AF-C044-411E-AF9D-B7B928F18E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5F713-635D-4954-B396-AE3AF167A0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1770C-1A39-4B72-9E52-C8E8AD34FC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59B15-35C4-4A8D-9B77-F7A43B7A80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F6A72-5E01-4978-AAF0-2E33E492A2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CDE27-DB46-4A56-93CF-B520F2AB1C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329752-A115-415C-97A2-0E359D23C3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BAAAF-0524-4959-A014-11431BE01C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05517-D9A0-4A9C-91B0-42FA88347D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0F226-F0E3-45A4-9F1B-3EF5029C0E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E23C4-8F4B-4154-91C5-A8202133DE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84DDD-2248-4E4A-B9A7-42D9EC7E15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CA5BD-346E-4BFB-B9B5-7DA28727D9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7663A-8C2F-41C0-BBE8-74568D3EF2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542AA-AE48-446F-B250-458C0A4D8A3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86626-BC80-4784-B0E4-D56C0183CC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CAE0D-8A23-4325-8408-4ADD95593D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DE438-7F15-4F83-9EB5-5D0EF15CDB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D0202-B476-4DBD-AC5E-08C363413B7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B0848-6F5C-4A6D-B819-432AEE5920E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BB03C-B542-4AFB-B539-B9B6B995ED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8753C-082B-4E27-A877-42AFA242B5F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9F6C0-4932-4EFE-86C7-449224EA30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6539F-CD6C-4324-A107-BEC30C112A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66E36-079E-4711-BC53-61E084CFDB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4086A-5463-4E1B-8FDE-2E2A0BDC0F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D396D-4772-4341-85E4-2781A014B8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1B638-8AA4-4D67-926A-68D3D12FC8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08FAE-9C13-4F1D-A828-F7694BC8D9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3AB53-525A-41FB-A3A0-3447BCCA1C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61AD9-1C9A-4DA5-A62D-DD1A39DDF9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E5F3F-DB8E-4397-A7B2-675EB31C97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B00ED-6D91-4960-948E-A200B092F2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42150-B660-4C36-B3B3-2A13073117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FBC92-8C3F-4EA4-9DF2-EAEECD75CF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A14B4E-A68A-44C0-85BA-4989522633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D472B-C398-4F79-B6CA-9FF197DFB5A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DA2CA-EE6F-41D9-89E3-F8B805BE28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44990-BD17-4208-B951-9E6E157977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F4E66-D4FC-43A4-98AF-389A79E825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9E9B0-B7C9-413C-ABC0-6B68971E9B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A8B08-7E08-4C08-8C2A-2CBDB6A9B4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B9BF0-DC60-42F7-A772-7649EFFA298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06847-7B6B-443C-8DB9-E64A81B5A3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B3122-6F4D-4EC6-9A6E-1D22D18EA0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A0C44-51AD-4B5D-BCA3-A4AC110197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10E00-00B5-4B82-9ADB-69AF4E7427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FF0C9-82A8-4DFF-9569-33AF457FDB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2A33B-6CF0-45AF-A18C-582B8D3B9F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3AA12-D3A0-46AC-9C17-C8C416D05B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98EE6-59CC-4C43-8B76-86BAB0F747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24021-CEB8-48AB-9D99-7A6EDE810E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F58C0-341F-4FAB-BF7B-03614AE27F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40A7E-E4BE-4840-BA53-D94956E6C4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A5CA6-7AEB-423F-84DA-23C20DD84F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7C9B4C-912C-4675-B61B-FD7C781247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3E28A-3104-44E8-AA5E-39C8827698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4864A-9A9D-4574-968D-A61ABA30DD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77A57-9515-4AA3-A2A0-BB314F5404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605AE-C8E7-4857-8185-5AD43C06B3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BFE44-295E-41C8-AF72-BD85425FDE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9E8C7-312C-449A-8741-26510DAEC1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9AB6D-90D9-410E-8C3B-48A50E8D6E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BBB38-91DA-4BE0-909F-913AEF9A96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A03BE-4EFC-4662-9D81-69A4483EDB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9DC6F-7356-4F69-A8B9-398009A05F8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17DBA-8F4F-4888-A815-A93B18FB48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C1B5E-C526-4A32-A7B5-276AF47170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2F306-1980-474A-A3C3-FE08D1B0E6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ADCD5-4C78-46C8-816F-2531559C01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7761A-1A4F-48FD-9F4C-4AEAB0456A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C33B9-E75F-4158-A014-F5EEAC2F27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DE73B-AD67-45E7-A368-F348D3C0EC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19E39-E608-4776-BBE1-77CB3B4FD7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C8ED9-4B5F-426E-9B01-EF0AA0F6F35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608DD-D02B-44E3-AA26-F47CEBD265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B43C1-065F-41D1-BAA8-6D1506308F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B7A4F-68DA-456C-A5F5-48DA83A8A7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1327F-BACA-415C-8F13-56222D3120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17582-D8E2-4284-B88D-2B91C9AF96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4BD5A-8846-4DDC-AAF6-D86A4739B8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2B06D-8F76-47DA-853B-8A846CCD15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1EEDB-BDB1-4250-BD20-6C9BFCFFF8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1449A-E58B-4428-917F-93D3B27CC3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7C07D-D2B9-4B89-B43B-F635AC94C9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4151F-2E00-4883-B895-DD84EA494A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67F7C-B9E4-4539-A43C-BAF4944841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8C096-B110-4DDA-A2B2-268CCF4209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F3C76-03F5-475A-A421-7703C4B95F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D98EE-AD5D-4C6A-991C-037A76B77F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6B04D-C991-4511-9D4C-FD635AE68A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69A3F8-3A37-44F4-A8D9-482770A4E3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F5C25-56A7-4819-A3C2-C67AC00C67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88730-56D9-48E3-850A-373353199D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E31AB-6513-480E-8E93-1D025D3E45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BFCAC-061A-4D13-A900-BE38D40280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91960-7AF6-4331-B2AB-FA10C0741D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7BAAC-1304-46F4-AE97-87B401909A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4C19E-C82B-4867-B4D9-864D04508A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76DAC-7C5A-469B-BC46-797C067BA2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A2AA0-6F11-45B4-99B4-3359AB3D96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8B07E-E78C-4437-8109-701EE932E7B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25F3D-3BF2-4775-BBE2-C3440CEC82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33297-A216-47C1-8A83-D8E69D929A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AA67F-9579-4BCD-9CB5-48FBFBC628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C2432-C10C-46AD-A7C5-5C2BEBC5F3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F3102-1415-4CEB-AFF0-14C663D758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75025-602E-4B28-85EC-F84C2D9E0E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382C6-6698-4A0C-A472-54ED3E14C6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FB169-E977-4678-88AE-FE739A0FBE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49EF4-42CD-4777-B277-73F7BEA5050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331FA-91E5-4904-BF0C-9D43F09748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E100B-C24B-4AC8-A1B9-69CF84FE3F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5971B-9136-4FD4-AE74-61A4644334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E2366-73DF-4881-87F6-BA7BE179C2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AAB48-7833-4A41-A870-E1D5E30E42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0E608-4C9A-4DB5-8BB0-EE34A524D2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E8F18-08E3-4F27-A9F2-2321672B47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C5EEF-3949-448A-923C-3E26866A9B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C83E3-CC9D-4A0D-BA11-9E2C551105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40410-C26F-4894-960C-3408A2EBD1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7EA37-84AC-47BB-8964-70BEDCB420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BE849-8314-4306-B066-ABA1F02206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2DF87-320E-4C6E-9F40-1CC81F7A42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F807F-B09E-4BA4-AEB8-6B739E89D7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1D0F2-8C1C-4720-8365-5428F72D42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C133A-785D-4243-B9E0-95712546C1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59C42-3E5F-440E-93FB-E2E9BCD4AD9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3D551-3EBD-4A1C-BBC7-08EEC863C9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7192D-A919-45F7-8879-7528820D1D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D74DA-DD0D-44C1-916B-01DFE28A7B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6D100-517A-4C59-B2DB-B7F86D5290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2A030-7F8A-49FF-AFCB-61D1D78739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8919D-C16A-463F-A357-FB7C03ED10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58C3D-6C97-41D9-9038-E2571513DE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09F8A-45DA-4E31-8FBA-09378AB672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8730C-6A1A-47A8-9413-A552997AE3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537E6-EBD5-45CD-A2B7-574FDEDCAD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62108-9A52-4E8C-9CBF-3DAABB6D3E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39332-7099-4C51-81F9-1002BA4885E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65250-26F0-498C-A626-EBE5249208B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503CF-DA34-4FC1-8D1F-9EEC6BFD91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97330-E01B-49C8-A9C2-BECA8E355F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7732C-3275-47B7-AFDE-01455865BD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7339E-3350-40E8-90F5-0765DCDED7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4CC45-573E-419D-B339-0B0F2EC4FD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63705-CB8F-4E32-87BD-E752748509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E5F9B-19ED-47A1-BDB3-AF583444B6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79D4C-BBAF-41F1-8611-B83268343B7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706D7-1578-4176-AE5F-97AB2AD357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104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9CBF1-2DDD-4100-ACA2-706B7E928F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3F3C8-F226-4147-91DF-6241AFE99D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22119-9772-4642-B65B-67B4D0EFDF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1707E-0473-42E8-A965-BEF3E4E2D8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CAFAB-0EC8-4FD1-81DC-4AEFE9AFE4B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F66C5-EF38-4851-A79A-B419E386A8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2EB80-336D-4299-A9D4-97F8AE7AA9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BFBA3-591E-4A91-B1DD-A7AB0BEE0E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5AC15-65E5-4479-B547-FC98961B98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3B46C-07F5-4CA9-AF56-36E47C0BF8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22003-9AEA-4301-A1B8-6199EB82CA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5E8AF-B7CD-4355-805D-CDD5199914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1E0E2-5AD5-4F6C-8806-6182DDFFB80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412E2-45C2-4C59-96A1-C581256855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D25FD-47DE-43A2-A58C-E1086BCB89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EEF4A-6053-4923-AEC4-F3D0AF0B4D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12261-35B8-4268-A308-F32CE1A01C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E67B4-A7CC-4FAC-A210-F364E6BF60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2891D-7773-478D-9482-C319DDB573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61365-A243-43B7-A72B-6B1E996073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1BD522-E472-4A90-B5A5-CB282155EE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7796D-CCF5-4D36-B3F4-65672B402D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CC5BE-5032-45C9-B213-9288085AB36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73ED9-A682-4032-90CA-1487B06D9C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6CAEE-2D00-41F2-B4E4-EF503BA09C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484A5-43E7-4992-AF8D-F89DA88955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D8AEC-0AD1-404D-92D4-D1CE007E46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1726B-3C4D-4315-B3E8-1B76B88AB9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4BC70-1AA7-4208-AAAF-6BAC50A1F8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B626E-3F2A-44A3-B50D-CC48449E24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A3DB0-A15F-438C-BBFF-23E7415888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91F43-2B0F-4E66-BCF9-2370879255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76C87-F9EA-4E1D-AE21-FF00F5FE2D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CC289-ABF8-440D-BD4D-075CBC368A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85D54-3BBE-4A23-AC36-34C2C82544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DE53B-B4BF-4E32-9130-0500DA9524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AFADE-B31E-4343-91EE-B5935C49FC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AAD41-F0D3-4C4D-9753-B8369A76DF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C3FD6-9BC5-4E05-AB34-F7ECB66B2B9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A3507-DE61-4391-A43F-7D36242A0D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D2500-9A1B-41A9-8E05-9F39A020DA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202DE-E5F0-415E-AA0C-F152C45F6A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4728D-B835-4488-BFC2-C38B60A2C2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047CB-D331-445D-8FAB-287932B50E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5B886-07E0-48ED-9A1F-9B73E1A3DE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C9204-EE82-494E-938D-41DEB682A8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42EF94-B072-4539-BAE9-17156AB7FA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738C2-7CF5-4645-A1CB-469DD48D8F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2DFEA-A20C-4537-92BA-8EF53B26E1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AC6EF-365B-47F1-AE04-06E635970A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1FD60-EC04-41FE-A49B-DC6096252F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4C09B-48B6-4628-85C5-4D60712D1A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C83EB-E01D-49D6-A08F-99B7775052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465FC-5CF4-4487-926B-9D2CB07B7B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03A41-8873-426F-81EE-2BCF28CA7C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9A5A3-9675-435E-8C06-805CA0BF28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F9CA8-DDE5-4637-BAE5-518CF8F49C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6C8DD-4D2A-4692-A8EB-67B8F22595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4FFDD-0E0A-4783-9FA3-9B0758614F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A3930-7E3C-4784-97B6-7B3D368EE2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6168E-5D6A-4C00-AF2C-28BAD14A22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427FD-3FF8-4324-ACCB-F08DDAEBD8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79D9A-6EEC-4856-9BD1-4EBCF1B3B56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026DC-9C57-45BF-A3CB-99CE5908AA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42300-1E2E-4789-BF6E-D61BF7FA21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1C358-1C57-41F6-BD77-8C6FF9FCC1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74BCF-40E1-4936-94DD-02C1AE367D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3BDC2-E96D-40B1-A781-03DA817082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3930B-8438-4B08-85F9-2AEE32DFFE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66794-C9AB-492B-A0E1-623EB1A56C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7BDA8-6217-44AB-A5F9-F09904B776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260F9-5C36-4913-9C3E-BE5A08A5DB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9F0FD-B33B-482A-A1A8-ED841B1810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84F9A-E740-4721-A554-FE0B748C0D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B2384-A468-4AA8-9A68-0E3C33B578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E83D7-6B85-4BA9-B4D8-48565DFFD9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FA8F8-66F1-442E-8EE6-F0A4C6FB297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1D1C0-70D1-4614-9052-DF35FB252D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34D8A-B332-4DF6-8EAB-08559A9AF0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78744-E892-48D2-93B0-7A1A97EF107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604CC-3DC2-4686-9C64-15632FE8D8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1CDE7-5432-4CA4-8509-051A934CFAC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C9ADF-EBB9-4728-9048-6C0AF4A0D6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69C7B-D1E9-4696-BDDE-E7A810DE91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98755-4131-4EC1-AB0A-9BE6472B07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EBCB1-EE62-4579-972D-6350F1F99E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34E20-3663-4662-8B90-1A92EF7DFD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01410-3C9E-41DA-B4CA-028A20CD0D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13078-9AD5-4E44-BCFB-182510B916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40938-E43F-4F68-8496-6FA72D139F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F2A0D-E254-43D1-B4AC-858094EC27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38CA8-BDB0-4969-A572-8201D2DAEC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FB913-795D-45D2-869F-5383E8DFDC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C6085-B5C7-465C-9BD0-4F16E9244D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5D294-E6FD-48F2-8E28-D7345398A7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8FD1F-4789-479E-AB8B-A177F49529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84DA6-B766-463B-9C3E-B0F6A01C9F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1C831-48BC-4DC1-ABC3-B7EAEC2DBE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3DB3C-3441-41B0-90B5-DEAA2E456C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6ED29-47C1-4A49-B96E-DD28D571BD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58EE3-7226-4CCA-9F82-EE670B8B3A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195E8-9564-4D85-A3C1-7A6F91D9D7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A226E-DC19-483D-A1BA-917F85AD0A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0DDF9-633A-479A-81B5-9F47F3D018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85591-7F83-4731-975D-72FFB18E78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41158-24C7-40B2-9B22-8EBB2F182D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CBAAB-881B-4720-A5A3-26DB249C0CC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E2172-8D05-4A6A-A85D-DD156A4240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D0C7A-E4E5-44F8-8AC8-94B9593B6B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A1F79-8F60-4CBF-804A-9D41F36647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D3C2B-62F9-489A-B634-811EB897A4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17EEE-14C8-4E3B-B692-17A8FCEA16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0C909-66C9-405B-9DC6-7637B4D070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CC8CF-E272-4B84-859F-1FF19573A3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62712-394F-4163-89D3-1AD75ED775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0B38D-5BAE-4CFA-8C00-F1C207A07B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DE0BE-D48C-4A00-B620-108F31F06A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7F854-9D7E-4984-90E5-B6789B53785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5DE53-91F8-4806-B78E-9F34D52F62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5308B-2534-411B-BCF8-224A7DFB8D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368A2-C88B-4610-B4F4-D5F5CA32F3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537BD-3E23-436E-AF6D-0A9F04D52D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BE233-FD8A-491C-B55A-E85AA89853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66332-61EF-4B98-8EF9-4A70F96FEF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A9584-33A1-4BE4-AC3C-C00EA76E56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F75CE-E794-4ECA-B919-CF897555DC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A0E95-5133-484C-9A72-0A7678A664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079C4-BCA4-49CF-A3F0-779321AE1CE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B1C45-8144-4E54-B224-0725CCC8B0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C61BE-5198-4F09-B5FF-0E3F9AE318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1F7AB-FDB8-42B1-B453-11F39EE9437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499ED-F62F-4BD0-9980-C3F64E074B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8AD2A-CC01-48AD-8DF8-A53D086D61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CC254-6DD8-4FF9-887D-104A7B44D5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7C02C-4C15-448E-959C-3D6410F24D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A09DB-8649-4768-A007-F02A4FBC62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9282B-B19C-4484-8642-7AE572BE23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EA63D-8275-444A-8784-3D793478CC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D194A2-9657-413C-979F-60BEF26013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43C24-DBEC-4FC8-B547-CEF225D475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77C51-28A9-4040-9EB4-F8F4CB1543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1F47B-EB07-44C5-87B8-C1A2AF6C78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DD751-4CF1-43C6-BC59-BAF0E7DDAD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E4050-813B-4341-B6E6-E07B17F347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A6DF7-9018-4EF7-96DC-E5EC5AA515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A7CF6-0F9E-4C04-ABE0-F287C7A279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EA6D5-D4D9-4196-9F92-92CF55C52C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AB561-1150-434F-A551-EECE471B05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C763F-548C-4B97-8B2A-12A0703C2A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1CAA4-2079-455D-A6D0-9D727E8DC5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27930-8D48-4F66-B39B-8B970B91E1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7FD64-0B52-4287-8EAA-8840FC3FDA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44F74-701B-4514-BF2F-4338F1AE78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C0A31-F09D-4BAF-8803-EF91C299C8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38C99-AD41-4790-825E-493496C3F8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8FB7F-9FC8-46C1-AC75-DA4C5859B5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8BB6B-B212-465C-B0FB-F3DF401AE06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AC1E9-E3B9-4C62-A5E5-B5A2FCDD32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CAC63-7196-4B02-9172-F55D3AA513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1AC4F-4456-4E86-AF99-E4D2781CDB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9E23E-AD72-4FAD-8A37-B9028FCFB4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133EF-EB8E-4798-ADC8-0BA2CCB82E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DED3F-999F-4682-85E2-559F4338E6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71BDD-43DC-464C-B29F-425B94896B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0B6C5-E8A5-4BAB-96E9-B772FCD6EE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96491-BB66-4F95-8E30-9A119D01C1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B0B1B-B868-4FF9-A649-C7E2C7E7A5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4EA4E-3339-4698-BE64-E55B63C3DC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53113-40B0-4572-958F-6F11456469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03ECC-6C83-40B7-A549-E2CC5AD150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0FBFF-EBD7-4C72-A700-8FD618424EE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2FC18-66F6-4C99-9205-AA5AF707A7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30BC1-6AFB-4D5F-9A72-7C1721AD96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2A1EC-669F-4AED-B7C3-D7862CFADC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9E6F4-B763-472C-B984-D4BB301854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9801E-FC5E-43FB-9BA5-88E2EE0958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EE319-6918-4E96-9712-8F028BB40CC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B3C07-9CBD-4D93-AE88-0C7392C02E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0CC34-3097-4FC6-93C1-657C0BE350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BBD4E-C4E9-44A7-B778-AA39893BCA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E548F-50CB-47EA-9F87-CFB92AFF39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205B34-163C-4C25-8FF6-CD89A37531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F3B20-49B3-4316-9C2E-627AFBA859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05F73-7E76-4BAB-A9F5-357925D5B5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4E382C-8AA1-4021-BDC0-086ACCE8AF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BE8C0-6757-42D9-BACA-FCC10150CF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58273-7D39-4304-9141-138A20C6546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A9E69-BB72-4AD1-8B42-D95BE1860B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D3669-376F-423D-92C4-7BECB11216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1BCAD-EC99-4407-9F03-CF5B6B98B8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7C485-358A-4967-8D23-F7EF15C42A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6EAD63-E5F2-4316-A345-44C878BE7A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FE220-0286-460F-BA73-BCE543C3D7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77AAD-7F69-413E-8A54-76F5F34C47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1E2CD-8C4B-4483-85DE-49BE1BCA78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46AA4-4F9E-40F8-991B-C0F9C9E50A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6DBE6-4C1C-4984-91C1-53D26CDB05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94DDC-A178-4101-8820-4E6C15F318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2EA6C-C741-44D7-8061-96D966DB85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2A9C5-7836-4773-86DA-A0E0C65BBF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54E25-F688-4B73-A0FE-36D16216F0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C4424-7AC4-4F04-A7FF-B2F1C7EDD5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14919-F5AB-48AF-B999-80965F5654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B50FA-AFBB-4864-81B4-7A7CED32BC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B6FC0-C586-48F9-882C-0A60AE48F0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F54E0-C841-45C4-A24F-EBC58959C3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9FF37-5751-4A20-A42E-E8F812F122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27E3C9-46C8-4486-9D8B-7039E6493E8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2C8D2-0037-4024-9E51-2B8E5A36E0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3BF8D-0A0E-4177-BEEF-C8D95728AD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9CF62-4340-49A8-8CE3-AC9D0F4F81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771A9-D69C-4F1E-9F45-7F84E70C76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A76EC-7CFF-41D5-933E-3C3EC1B109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28BEEB-4EF8-4043-98F3-2E9CC18FB2A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5607D-299F-436A-93AE-F2B9DF6B7C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72DF2-FD12-44DF-866F-015E335344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DBDCD-5C18-413D-B9D7-D1A83C0458B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74DD1-FEEA-4111-935C-2C6250BDC0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84AA3-6B6D-4B0F-8F88-A5E99FA75B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2F83B-2700-4D5D-923C-003D2FAC0E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67ED4-C39F-4BCF-8E85-F219026C7C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F6B8E-262E-45E0-BD90-5D545C0D8B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BE41F-08F2-459D-BE20-338E505C21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AB930-C15A-4E5E-8ED5-977E141914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701876-27DD-495C-8FC9-DE8922D090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6D2FD-1F0C-4C2B-9291-6BCFAF3256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819BA-A7F5-46CA-A36A-617C9605C2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48458-99DB-4F37-B14F-F0C57E1987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1239F-1692-4927-BDD6-0366A16C73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265B6-330A-4CDD-82C2-E596C5EA01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CBA2B-9BFD-42CF-A67C-21C0EBAB23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D78AF-9504-4AEC-AA68-BDEBB4E6CB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21899-1918-47EB-868B-C90CF6E539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A90B5-EBB6-4811-9FB7-6CE7EE508E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0670A-4D9D-4FC6-A5A0-0731FBFFF5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B88C3-C17E-4209-BFCE-4C4A971DF1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4A3AB-EA59-418A-A796-9AAFA67163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029A5-D138-4307-879B-2BB021DA89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87C31-6A35-4C92-A411-D9913A3114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84A2A-E67B-48B3-B917-E74D6BD1D3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82A50-D38E-4271-B5B9-CD3DA1C105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AB317-6CF0-46F6-AE94-4401B466B2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10952-D980-482F-9040-BA979782CF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909BA-334B-422B-8CA9-2C0D1BD342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81791-8174-4E23-92B5-8EDD6AADFF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8B4A0-C4CE-4CAA-AE71-19DEA9AF98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1526D-B232-454B-9D4E-7C32901D5D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AB25D-A235-4354-8666-F0EBED2D14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79396-B792-495D-BC21-042EB096A4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46E3A-1B49-40E9-A0E0-E9C4582FFD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FCA04-A25B-45EE-92AF-6943A5D66E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6D5A7-AD3E-4E45-949E-852CF6D4C8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12563-C440-4BD9-BD8D-5FEEE4288F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C349B-E356-4AC3-8851-0F2B14D62B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A3E4B-E38E-40B5-A05A-5022B07000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D71D8-AE7E-47E1-AB94-00C1F3F996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4EF5A-0765-4ECF-8087-C4FEBB05B3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74960-CC7D-4ED1-BF90-5F41D4659C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4BF7C-0815-4ACD-BC60-C057FE9485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91331-8931-4CB9-A00F-F8348B8A3F5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33544D-1FF7-42FD-9EEF-C10AAAD890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FF8F3-10E5-4FEB-86C8-2A690EBAC0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C10AD-7B2E-44B6-909A-0F110A35B5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B4A69-65DD-4AC6-91F3-F6B3065782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BDC1F-40C3-46BC-A98E-1232B082F6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915D3-5B84-41BE-9C49-008CFEB895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3DFD8-B056-4DAD-9C88-1DF8B4A21F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ACB7E-FED3-44E4-AEEC-80416570BC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36684-7FD4-47C7-8E40-844469D931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B8204-D6FC-4ADD-8C46-46930CEA6F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DEC81-CC90-4488-8BDC-76DB600A76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8D7E9-270A-403B-8195-052E49B6C1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40CA7-7CC8-473B-8DE4-7DA8FB07A9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62437-A0FB-4433-B786-D07DFCC101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26F83-BF6A-4F47-8735-C297A803DC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8AA73-F778-4C90-98BE-C4135375E69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CE9A5-5835-49AB-9163-CC063029CD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CE1B1-AB2A-4A64-A984-98C6875D43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0BD35-BF30-47B0-A31C-D7044C5CAD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786F3-8CFB-4013-AE8A-EDEA2C6784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DE2FB-1510-4E3B-83F5-47EE23690A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5F2FB-31C0-4A97-A62B-532C40E9AC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C3454-0DD7-48A4-A7A7-6F301A9885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A0BF5A-2E2E-4D62-B3CA-B2CA248CB0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5493A-E685-48F3-B8E5-05E2C07D8D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DAF64-38CA-4BC3-980B-0322DDB0120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9AB64-992B-4705-8795-9D0469EF35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7C9EC-03B6-4E93-AD0A-6C7F6A15C0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D1EE25-1659-4AFA-9FCE-CA825C09CB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2D82E-22A0-4910-9731-371620B437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0F75F-7332-4AC5-B4B5-9884AE8CF3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6E495-FF1E-4770-B0A2-05774EA6D7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9E164-D078-46B4-B0E0-EA23F7EF7C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60700-4895-48D9-9E0A-EF3FC8AF9F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3D185-AF3A-47DB-B931-67E7D21511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881A2-5817-4D3D-8A9A-D4D38396CE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E647B-6C46-44DC-B7FA-A60FF710DA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95F6E-FA0F-460B-9F44-E06D26879E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7D442-5FF4-46C0-B940-3A2B21187CA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81028-2438-4126-B352-D25EE2E590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1694A-1AAF-4482-BB48-2DE19C2EF5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64887-A713-4A41-9538-F1EDCF616B0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E2AAC-A9E9-44C8-861F-412ACF4E77E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E6A38-8FF9-4A03-91D2-0C10113594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87326-D005-46C6-8E52-045FE9F05D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6DF4A-2923-4477-8363-6AB9A3F421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6F26C-0486-42A6-81EE-EF2579C7B8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39F5B-72B3-48FC-921A-AB70DD73917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2B125-C0E5-4BC0-9A14-AF6C458729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ABA87C-73A4-4756-8626-CCBB11898E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A8892-931E-43DF-ABFD-19FD6606BD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D8D4B-E185-4A82-93D0-DDBC6B07CA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2FA95-ED4A-4911-9EF2-E14BC38AD4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727E1-7945-4FF5-8C37-6BCE3C2B5F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B907A-8960-44D1-8140-D9789BCDA4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6385B-8ADF-45DC-AC18-E0BEA16A0E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4B967-1983-45A5-B249-638D5858EF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C0A4D-3D64-42F0-833F-2DC6349F38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CFFC3-AFB0-44A2-BAFC-C1FE68C49F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B347D-90CC-4155-9F3C-9148E7791E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4AC03-0FBA-4A8B-AA8D-D3C03C69C93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D44E5-B89C-43A4-9B86-21EDF02B7D7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5F591-BF56-46E7-917E-DDB02A4C18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C4378-D518-4B42-983A-905A7AB6F5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1F400-C722-4718-AC6A-5602E063D9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38BAF-1A7E-4475-8C37-23F219FF24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11341-9667-45D1-B42C-2FF73611D2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48585-523E-4D8E-99FF-B6216D8B34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3223F-E269-4BB5-B20E-93D2F79235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25AFA-E928-4FC1-9B40-CB703E7317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ECB23-F3A4-42EB-8D13-2D93880F7E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0BF56-FA37-470D-B34A-0AF4D98B73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A0F9B-CE0B-4EFA-853B-E5C274F428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9900B-C407-4F85-B460-D64414A5DA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3C562-E340-4AB3-AEF5-8C75207B406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E6756-3F29-45B2-9E9A-930E7FEAC03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86666-3CE9-4A64-AAB8-18B4B3BD23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798BC-54B3-4FEF-98BF-478C0FBBB5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D87D6-05D4-482C-B770-B0A0E1B30B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5C3A5-FB40-4AB3-A0DD-8BE1C902AA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A8084-8E44-41E5-9BD4-D57E7F835C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F8297-60CD-43E5-AF6E-0A6113EA7C6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E190C-FB4D-494D-9985-30B5FF3EAF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ADF67-C569-4D60-B7D3-2AE9A08A83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0EAD2-1741-4A7B-A238-306DE4F966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5AC0C-F439-42CF-90EE-8BF07B7A8B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48318-93A4-4135-8F47-B9AEB6E335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24E7A-9572-46AF-954C-667AE1C96C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18141-08DB-486C-8C06-EB4464F038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FD44C-4113-4547-9EF4-A764B17391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DE8C7-1A95-4FF1-B5B0-13ED7D33BF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05536-35B9-4A5B-BB5C-083B39D39B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3E018-FFC8-40EE-A427-B1EFEBAC7A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04D9F-1E38-4427-8DF9-EBF31F8190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82F98-9A32-41DA-9CA3-4D0C18C7D7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A4416-340B-4EB8-8674-A4D713B93CE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F37DC-20AF-4B20-96B0-ABD41EB88F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A6AC7-4A1D-459D-B636-17828638F7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DE62F-6398-4151-8B14-4C58A3E78F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B3AED-4EAA-497C-A015-9241B9D6C5C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47515-8601-4E6B-8D4A-B6EF4031C3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583D9-2BA3-476B-BD28-A29F2BCAB5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E379F-1784-4FF1-BD3B-1F2B835BAA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F656D-0125-44F5-A8BE-0E272DEA1D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35BF5-1EB2-47D6-B80B-2CD7A60D3D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43E64-A045-45A9-ACB5-B39FCEF2510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B9418-90B0-4515-96EE-EEE596CD20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BF01E-ECC5-4BFA-93A5-CF8F75392C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374EE-A3C5-4277-977F-2F3453AECC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A46EB-24A1-41EA-9BC7-D5BC27FA61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80CF2-34FE-437C-9088-C102E9DFB0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739B9-7A0E-48E8-8C44-FAFAE8FAD0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43F6D-2434-489D-8AF3-FBFAD41C46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F0C7FA-CC9B-4CD2-9E6C-C14C62EAC9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5F8AA-49A3-4BDC-A03C-6BF8CC6992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FB3D9-933E-4AF2-BC3D-0F84B3B8FA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07F51-61FC-48A6-90DC-D1EAB57E37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1F1FD-66C7-4BDB-B258-365CA392F2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0FC0E-DAA6-4805-91AC-24B275F242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474E0-4A51-4C79-BD54-ECFBFB889D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8A600-05FC-456D-9675-919993B1996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E4A9E-9FFC-4CEE-AD79-8075016C60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B6F5E-9964-467B-94CB-19552EBAF2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D915C-C8BF-4711-8F40-D119843095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6087A-5CF0-4B8F-A7CD-406D0D2149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B70B3-529E-4D50-BD64-D013CD3D04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A5C3E-4EE5-4410-A819-D38F2B1152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AF058-3E3D-453F-A905-508A682D5F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9BBE5-32C1-45B8-B2F4-3AA8073264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9043A-299B-43E5-AE31-BA5FEF60DD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0401B-A704-4094-83AF-95D373D014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B837B-8B88-4C47-B7BA-661BADEAC8B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64EFF-6BCB-4FA5-8213-91C19B3DB3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6A4E4-E58A-4BBB-92ED-F09491AA138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CD90D-89B7-4900-9DD9-B22AA87F07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ECC66-E4EB-420D-B9EB-F7EE95333B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8410D-00FC-43FD-9C4D-562B77DD72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BA66C-399E-401B-8B72-22EFF3D194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2940C-969B-4478-9027-2B93C6D8D8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21E9C-AFD3-4487-9368-580D98BF2A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76038-671B-4165-BFDD-915B1F314C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1814E-8F32-447A-92D4-ACE283B16A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3B68D-F839-40CE-92D9-63667B6176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DC435-096F-45C9-97AA-E6BB4991F3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FC344-E288-45D4-8534-1051ED8964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9E4D4-9061-4138-A9E3-0E99039D2E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66286-42EC-4E71-918C-325D941143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85631-D356-44F4-8821-CE138B97E2C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6249A-591C-4C62-886A-98970791BF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3F568-B7BB-44F0-908A-2121D497B1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8CE6C-A82C-4BC3-A5B1-9AFB493DC7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6EEC7-B321-4517-BBD9-50C0084316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0F542-46CD-4320-8DF4-6A8C0C1075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BC156-5257-445D-9AAC-5E37DDA93A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BFA2C-9F70-47A7-8851-34F12951FC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44DCB-49D0-4842-899E-8A728247FE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6C24E4-6290-4140-AA05-C3078B4895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16673-1539-449A-B3C8-A8F06D65D8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5D29C-571E-4C6D-82CE-93374F9061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02B3F-9F11-4169-9A1E-8291E86402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52387-E906-4F9A-927F-0B5E9F6EB3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54EEB-3483-4E5B-BD15-F5BDD6FB3A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8FBB3-3331-42F7-AAE3-CD21B97C6D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43A7E-11AE-479C-B5E6-D87302B755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5F6BC-200D-488F-91AF-A34CBB5E0B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25431-5713-4AEC-8AB1-7140BB1204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82CC0-D3CD-4712-AD74-CBF4A5E431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94E5C-2165-409A-BADD-E4DAD4BF34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FBDBB-EDB3-4CC5-A4F3-1FF4869CF5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83316-8986-4DCC-A134-0BBF0A9249A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283C79-6CFA-4D3C-BC7C-379B9D42D4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E8918-1F6D-45A1-BC2D-30257D564C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AD338-9070-4886-B9E4-B3466B3FC9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65352-34C4-49E8-9501-210185AF2B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89B74-CCA0-4849-9FF7-E62D9AF3DB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43542-6A09-4122-9875-6418865A35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2F229-E609-4F36-AFE3-009C155579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D00F1-A41A-486A-ACDA-2A6E57A081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899F68-777F-44E6-81C6-1A832C82D3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B6FE7-453E-4275-BC37-5689939871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4BD8C-41D7-4A9A-801C-47C4D8B017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90C10-523E-498C-85F3-9D39FD21BB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50C3D-4DA0-451A-91B0-5A4DCCE42A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F1E76-8A5E-4D3B-842D-4888C50549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557E4-36F6-4346-8232-AD85CEC606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1EF70-A4D8-48D3-A9D7-0132A5D283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49242-FD34-46B4-A1EF-0B96D86E50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D58B7-38E4-4101-BDD7-47F25A71C5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E99BC-C5BF-4FAD-909B-494D02DBF0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FC988-FD69-48EB-A4E8-2832DF238C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936E9-2AFA-4C30-A7A2-63211EA704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01057-81DD-4209-AF5E-19DCE88219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D29EE-4846-4C43-B849-6C4AFB799F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EB108-6099-4B10-B566-B2509DD560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3B7D7-6917-4A44-AC10-B311A6DE63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F6FA7-6F5E-4B32-9D3B-1BD625E161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C0E9F-A06B-4FA9-8560-C0254E5036C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5C070-B789-4067-993F-8F55C61E5D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6FB96-D8CA-4F00-911F-06918E43494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B6BA8-99A4-4635-8CC8-1FF995616B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C143E-B86B-477C-8A02-6B57B15AEC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549D0-641B-4C50-BCDB-854C133760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04BBB-4848-451F-A847-0356FAD7F4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73D55-3342-444A-A5B9-B08E6533BA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0C734-019E-4745-879F-314B8A582B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3FB58-04DA-4658-B6BC-874FD0106C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10A71-59FA-4ECE-9D6F-FD36AD8DAB3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4FDD2-B5B4-4F99-A9C8-A7201483DB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28274-3F0E-4F74-91F5-6E8BF3F85C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38F6C-A8AB-4D06-ADFC-F6E40A658F3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8742E-7F85-40B3-9459-5435A68D8E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D0732-B1FA-4A2E-A2E9-9DFA134BE7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3B526-24F8-4D5C-B0C9-18AC183B67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A84BC-3D4C-4B4F-9475-CB54497EA7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AF9CC-B081-4184-8CA3-59A70FF967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504A7-0E09-490B-9A92-F6C74B2EBC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FB7ED-FD3A-4326-B87A-D925F13009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96A95-760B-45E0-A665-BF15BCCA8E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063E6-E41D-4BA2-A7D8-5DFC7F907E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2CBB3-46BF-4629-A4F7-5C9B6E9172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020CD6-B049-4D7D-A5B8-9ECFF1453E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AD5A19-F223-49E3-AEDF-A48254934C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B4A9F-D1A7-4871-B8BB-07A74197EA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5D718-C6D1-4B37-BADC-3422B20A5C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6F8A1-BBF2-482C-832C-A969EA9B71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D5504-29C4-4F91-A1A0-0E4D5CD196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E0DF3-94A7-4D01-9DA7-BC0178AB59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7A1BC0-6D79-4FD5-8DE1-F001B77945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B7E6D-8301-4C21-AA26-238FB292C6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44958-8F9E-4F41-B26F-F26430911B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D5BFF-7758-4F5F-96A0-CFC487A312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AED65-01E9-435D-A02D-CF71D52140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E9F62-B7DC-4915-B17D-B614183E02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3FDFA-DD73-4FE0-BAA9-A22564FE97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5BB39-70FF-470D-9366-37BF8CC9CD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AF4ED-B33B-4828-956F-D8898F706C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663D7-2EBA-4A47-A38B-3488A272F2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EAB29-A8C9-469B-91F2-A1F0CE5B4D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BA81F-EFA0-4B4B-85BA-06165C8949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42875-3141-494A-81B0-6EDD338CC2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DD542-899E-469D-B80A-B2EE6A0B27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8814D-1FA2-483A-93B1-2393C82212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FD8B5-F092-498F-A51C-A3533AEA15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BE9EA-E677-4D0A-8F92-3DB7F708C6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A805E-1D85-4533-B890-2EE067A3F62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46BCE-1085-4A5A-B4CC-63515F16BA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F7C0D-DFD8-4142-AA96-C3A07557E7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B0F7E-72CC-496F-8903-5236141AE6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511E0-732F-42FD-9631-C5D25E3484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03324-27C1-45D0-BBCB-B262DFAB21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1A590-AB64-4D7C-8668-977EDFD4B8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ED115-CC82-4501-9BB5-11F79770AF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D80C3-DB24-4B75-8F6E-105F7B320BC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5D3F0-DFCC-41F9-93B6-11FD9157A7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71EBE-C8CA-49F5-A731-A4A74DDA8D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D6196-AF3B-4DC3-AB68-C026045ABA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04FF7-4ED2-40BC-A669-CC5C795806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D2CB7-1667-4639-9915-1420C7DE21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FE76E-E009-4662-86B3-C75014F1BE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FEC0A-8EC3-458D-8816-BA7B1BEA3E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5E195-6A11-4941-BD87-08639D5CEC0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D3D9F-BD15-43B1-9969-65C8545F23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01C91-2AF6-4D5C-A2F2-F13FE3E5D5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F3BA2-1726-43E9-92AD-ED8B34B886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09B7D-7A55-4247-BC1D-405846E2A2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D54C6-7948-4A11-8B84-5747CF5C63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187DA-E061-46E7-AB97-C891F99759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FFDD5-5098-4A96-B601-20DA65C27F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80133-2851-4421-A78E-4D945BE974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3A19E-DDE4-4D18-B211-432935AB7F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E7DC9-5A25-4474-980B-A40FE1A9F0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E7D9A-155B-4E3A-A013-60E87F66AE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EC2D1-B102-4B57-A089-2F51E2ABF9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FB792-4722-4FAB-8698-D924FFAC1C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1A6D5-684A-43B8-94A2-32DE8C7557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2AE56-2FF7-4A9B-AA94-72927816D3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F4ABC-1B0A-4528-B49E-0754BF51DF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0EDE5-5742-412F-AE17-A74AAD32E3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5FFE2-97CE-488E-9DD2-FA954C401C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F2E3E-BC2F-438A-BC49-40286F5662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C45E5-F969-44CC-92F0-64222D06FF9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9EF716-93F6-4B12-850F-8D1A7F0B35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0DD25-70E6-4821-B780-6CC4A0CA7F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83D4D-A84F-4DDB-8E76-A08C668257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0C691-83D9-4C85-BEC5-572D2AEC76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E9868-AC26-4195-8FAA-8AA0A3E3F6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F1424-909F-4C68-A509-7CD8EF13BE5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656D6-A2F6-4D4F-9EF2-06959F0737E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14B86-AD0E-48FE-B623-372B955F12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BE411-D72B-4CF5-A6E2-4F93CFEBC4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2F036-5F36-479C-B7B3-0E8107501C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64A12-5294-401A-9E4F-B20137B4A0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1487F-741E-4749-ACEC-CCBF63572D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DD273-C2A5-4BED-8A71-10038E6195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9424D-E910-4861-89B2-A51AF78388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56FE3-81C1-463E-923F-3025652C75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460D1-1A94-4342-87D9-4FABCD3E95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CC563-6DD9-4267-B7E8-44BDEB75D7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F3831-F73C-406C-A16D-11880BB6D2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6E298-6EE8-485A-96F7-C022A2BF43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514E8-C0B2-4297-B74B-641AC9EF29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7DBFC-6807-425D-990E-1F2A807BF9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2C90E-3148-4542-973B-D5D2FAADDD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E9ED6-A5E5-4722-A78D-5F1F4BE48A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C9002-E70C-4B9F-A138-D707D633C3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503D3-437B-4ED7-A3AA-03B3C13171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DD820-AA84-42EB-9C43-A7D162A240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651A3-BA24-4905-928E-9211D34220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ECA21-9D4C-4B62-8330-BED4EC7F86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A79A0-EE4C-4F83-8A54-DA10805973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D57DD-C9D4-460B-B67C-3C1EE1405B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A52D9-3B80-4C88-AAF7-C95AFCDDDA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7D97D-84DD-4E88-A5E7-0ECE5ABD3F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63A0E-DFB5-4C34-B8F9-AF32698FFD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29228-579F-46F1-BEB3-2CD439FAAA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1AA97-C861-4FC4-8C83-F1EA154643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A2AB2-5044-429C-A944-1273E70B00C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DFCCE-78E5-4F04-9696-09A9AD1232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5E741-5539-47A3-BD5C-B157B4D205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216B8-7900-44EE-A628-63B24420AA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E07E0-D9EB-4427-B756-FE4E050C4F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1EB8C-4466-4982-AF09-EA59492F4A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9553B-839B-4772-B8D9-A68BA3A902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6DFE6-2110-441D-85A3-5CCFED875F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67284-7530-4071-BA6A-0C83AE3582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9988D-AB43-4224-8D6C-48385E7DAA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38CC2-20D4-4C74-A121-F2846DCE66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A3A8B-90EA-4A0A-AC78-F97423D7E9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DF7CB-5F91-4D79-854D-360108CEBE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17280-A249-4029-8AAA-96275674BA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A7FEB-4B94-4739-B382-4FC7FD806D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105EE-A540-4A5F-B63B-C7577584DA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E056E-A1FA-4A6D-9488-7AC939BEEA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B9D7E-9B6B-4533-94DE-249EE225E0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39114-4518-4937-B625-EE6C215599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8F112-BAE6-40C0-9916-FCA86C1DF7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4518A-EED7-4DA9-9E83-71F282907E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A8BE3-D3FA-441F-82CC-7B75BB124D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A8224-E240-429B-A497-C4F74545D2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074AD-9136-4F61-AFB4-FEECAB69BA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E3869-9F5C-488B-8474-8B6D4104B86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84A63-6F0C-4BF2-963B-F72252DE74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AB16A-0291-435F-A77E-6BB6649534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7DC53-FF21-420D-BE91-7A032ACE88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C7B89-D9F8-41F9-9911-1093008FBF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232BB-89BE-4CF6-8200-BEE217D5457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3D0AA-3268-4864-A94C-AE58DC2F92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B14E5-469B-4D78-99EC-C60D4AB7FC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5F4A1-6FE4-4052-8177-4D3917E979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9563E-22B0-4DC4-8456-6BAB6DED41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00A64-11BC-45DD-8A68-2BBBD85C08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943E0-F114-4CFD-A090-BEC720EBF6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DA4FA-A64C-46EF-AA61-FFFA4123CED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71CB7-23BB-4CB6-9A01-46E550A9E2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14D98-B39F-4EEA-971F-B111BC7A41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6B2BE-2FE8-414E-8592-9DF231FCA2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6D252-61AD-457D-8EF6-984C61A947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A718E-4E42-42E8-AC21-DFDD20F4DC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E144B-7685-4890-8462-8D3EA82961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002A1-EDF7-492D-908A-876BE43407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FDD97-A4E5-4B73-8DE7-CDA017B677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F8A87-E95F-4F82-8580-69B23B9A55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974A5-46BF-4C17-ABB0-1813F86A21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46A78-4892-4146-916B-C7431938D9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6C3F4-6437-40B9-9733-05926061F7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46E90-4BDA-4D1B-BF17-5D2D910103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D99CC-C70B-49D9-A519-3EB9DA16BE0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6E99A-47C7-4B11-9E07-DB2B669BCC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18156-6BFA-49E3-9D47-959E2CA6873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1417F-AFC6-4517-8271-D1FDF5BD27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7C105-69DF-41B1-B5D4-DBE4143881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6F709-C67E-4764-BF92-6FABA96B4F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67B52-7B1B-43F5-8D3E-E2BDDAF28F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4077F-56CD-4948-9703-F06A328075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F51FA-B5E8-4874-B19B-947E7B6CE1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C736A-488E-4D49-A93A-F07C165CE8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B78C2-81B0-499C-877C-07CA960234E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89F4B-5150-4973-B0EE-9DF78BDA4A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2C60F-B4DF-413C-8386-61266A9295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8FC40-0B29-484D-8634-407CE2BD4A7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FF77A-4145-41AA-9D43-37D0F679CF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F9052-7913-497B-8E83-06C9353C70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EF9E6-11A2-407E-8F51-9B97E6061E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02E7D-BC94-4CD8-ADD3-1FF09462FD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DC51E-8305-42DF-BCE7-9E0C149E25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05438-B610-4438-A6B6-32BB0451B0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7686E-3437-4061-AF6D-76AA44319E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84E56-32F2-4779-9F52-131B82E79A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4A593-6E4A-4073-A09B-58D6E03615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4C106-F686-46FF-88A2-4807B51A1D9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348E3-910D-47EA-A1BE-C0FF7F71CD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6808F-B93D-41DF-A151-EE097ED312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75F8C-26EF-4B05-B299-CA937A0C78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FFEB5-630C-41BD-BD69-DED29D4ED3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860C3-C38C-4432-AB34-3BAA890454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07D0D-FE04-408A-B450-BB48403CB3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2CF5E-9101-491E-B713-F582690CA42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EAD99-EDCE-42A8-8AE5-A131AEBC82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E3F48-4ACF-4BD6-86E4-4C6CC12447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B1A5C-DE16-491F-BD7D-4D860EF650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D9BC8-CFD3-4D82-989E-9FD2330479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0A598-C5D0-4ABA-A4A7-EFBA83B485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06962-6B38-4A23-9388-B377022D80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115B8-C436-4F91-99FC-F33A96BED02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13F67-49D6-430E-BDAB-262F650688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0A08A-0DE5-4092-A472-2C704C20E3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081FE9-5A9A-431B-AC68-158CB59C6B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04E86-6051-4722-B9E4-FEE2C7E40D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CBB23-E7EA-4BA8-BEC0-61EAF28527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80571-3B9A-42F7-8805-C21697F717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E233B-8012-4159-B9C5-7F9C505831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F4EB4-A7A2-49EB-A962-00DAFC43D3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09D96-4A0D-4D8B-8138-33F4082A95A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5D472-D3AF-41E1-BC9B-3EF3932502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0AFF8-8B27-4F26-9CD6-DE3C6041691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51857-AC29-41EB-8D24-CE4166503D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EA3FD-6A99-4485-B20B-3F87DAE20C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6E176-13B2-46C8-985E-81B44354AC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8CBFD-4DB5-420E-884F-545D854C88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579AD0-3FD6-4364-9026-F9594EC479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7FD0A-B048-471A-8BA6-F27B25099A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E1351-58C8-4D37-AC4C-3A34385492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4728B-3CD2-4E36-9FE5-71504A739C0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7BE23-C493-4A5A-8F47-4E654C9DF9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34BA8-FEC1-4C50-B0DA-D0DF48F6E7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7B914-CBD5-414E-A65E-C5E3BCEC39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6554D-B954-445E-8126-412DDB374D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BFA0D-35F7-4758-B028-5B48D2E389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36C65-A7E9-4A84-ABFB-236219A5EC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7D936-E5EE-40BC-BCA5-C68C48A39A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5EC14-12C6-40DC-9D17-3546C0A44B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DA484-443B-4D7C-B370-62F5512E48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5A481-0F9D-435F-9EA5-F639BFEE7B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E6F27-C7B0-4728-A0BF-29CA0B67AD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93051-6867-448B-A2A8-B40489C36D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938A5-F3CF-4687-9492-1E9FA23D32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095A2-C93F-4F8F-8E4E-BD6B7515B5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6BDFC-7781-4CEE-9F0D-6B2719C9E1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39234-BDA0-4FC7-B585-1B5BDE4A28B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CB403-A542-42BF-94D6-1F5AD6B34E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F3B44-EA50-4CD5-8CAA-5E55D2789D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C36A5-20E6-4B33-8903-7C5F62A75C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58537-D01D-465A-B45F-ADB06B6E78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E1DF8-7597-4362-8113-CD46A18909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96B53-CB48-450B-B2A2-039B79BEBC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C048E-D60B-4259-8462-FCF8FB4143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7CDA1-5823-446C-9F50-79E49CFE19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221E3-DC75-47BF-8808-2D12F650B8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AB18A-AD9A-4134-8537-C8096B4D51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6BC48-1413-46DE-B53E-C8D9F717473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B7D7E-7289-42BF-8299-2DC2280000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FACDF-1169-4470-B33E-583F002648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1785F-FC8E-4610-9C39-48AB3B22D6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AF9EB-9FFD-4309-9881-F4043158C0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FF3E6-ED88-4908-B8D3-ABC6C5B5A1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748EC-6F94-4F50-B8BC-401B482520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D331A1-8F89-4707-93CE-579EC54F88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CDBE1-7EA0-4FBC-B3B0-E2ECBCDED2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65DFC-76CB-4CAE-AF44-9CCE5C5962C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D76B8-BB81-483E-ACB0-C1D4498E073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F708B-CD74-45A4-8C74-4984674CD4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9C3B9-E204-4728-BCC7-CCB85E9E55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B6B56-AE7F-4488-9404-579BB0F9FE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F2B32-332F-436A-99C3-632E1131967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40B66-420D-4E0E-960D-0F0D342406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7163F-4F11-422A-88FD-E48624A3D41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392E1-D6DE-4D7D-9D9C-CEFBB4233D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4F56D-DD16-4B8C-ABFB-41F61AA8BB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67791-07C4-4A30-B92E-322B5EF46F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060A8-7CA8-4851-B95E-46CCCE96EB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EA03E-1732-4DAE-919D-6B8E765D80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ACD55-3339-49EF-84B3-9A383965BB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5628D-9AF4-4720-935B-2397BB7647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FFF89-059F-48F7-A777-D0D5D54D4C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2E445-8EB4-48F2-BA0C-A99D665A1F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B876B-7830-4157-ABBD-DC74BA1E0D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592BE-B754-493E-B28D-17220098B0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01F47-B208-47A9-98CA-2A056FA60B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F1FF5-46A2-42E3-B71D-D6FEFDE01E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E3F0E-7D83-43A4-807C-3C205BA48A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87C59-8D09-4BCF-8557-75A808A0FC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9A4F3-E511-4AA2-B6A5-567ED8BD32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47F0D-D6A7-4154-A560-07B6DA1A4D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6A6E3-B6F5-4B6C-ADC2-A1D719E226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9AB32-771F-41EC-AA33-767F969D7E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D754A-10EC-4857-814A-E7DE062A54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AAF4C-A50D-42D5-8718-122B607601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0C998-ACF8-4D49-ADEE-D33CBFF2EC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A6BC6-92AB-4BEA-B719-DE2047D1F5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B4C1E-43F1-4ED8-A231-86213BCDF4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2D779-E7EE-4DAA-8A10-C8FB5E8D4B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50BB9-8321-4286-9B94-A77BEC7C53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71D61-D8B4-48EC-BCB9-0C65CC7ECF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22533-E3BF-49CA-A023-9C95BB1C75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979D2-E9FE-40CD-B9B8-0FCE5BA463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505E6-A615-4E10-A090-9D4B3769D4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170DB-0269-48BC-9CE7-8E55D57AA33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8BF7E2-1DC3-483D-974B-334C830BD2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EE64F-1B85-48EE-910E-12B698DE6A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16800-3011-4B2A-9FDD-545F3A2619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B0D66-801D-4B7D-AACD-FC0D5FEE5A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74D23-64D8-49B5-9A6A-56923CF226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9B5C7-B7DC-4D4A-9C24-845E2C7713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7129A-F564-4AE4-A6E5-CD79EFC5C3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C95EA-F788-429E-ADFC-E9969109BC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74BEB-8CCD-4F8C-BF92-BE394F2ACE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27EA5-259A-4A96-92D4-6AEDB36F8E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1E92D-803B-40F5-AE7F-5D3DF4F76C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08BA6-CC78-4F89-9028-D2B096B605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50C8C-4756-40E4-800F-BD03F9EB8C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E92E7-1235-4E94-B491-F4A7123048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19375-444C-4721-B92F-0134B9547B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33E6E-1A1F-499D-BB14-4651E7AC16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5D2FF-A901-4B4A-BBF4-C4D1A8BD47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088CD-19B0-4CFD-9B77-7CD8F8494F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EBF51-7FBC-404E-871C-2BBF15F363C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A3297-CBC6-444D-97D1-54BC32FC25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C7A13-476A-4244-AFC2-9704E3BE9E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A56A3-340D-4CDF-9DDF-FDC7A7C8BC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71FB3-C26E-42A5-BD67-0B0026C92D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184F6-1860-4A19-AE98-5222D2150E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36CCB-3025-45F7-9DB2-B1AFEAFFE7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D2126-3311-4138-8C9F-56CEB29A6B4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61250-88DD-451A-946E-F7FE1C447A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2DC3A-33C6-4184-A8EB-B666ECB281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0E18D-2A31-4E96-9232-33EEF6CFE2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D6175A-FC0C-435B-8160-C7A67123B4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1D710-B9B3-406D-B574-C1474F3C80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6D826-B80E-4DAB-935A-3611854C54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7F5D9-78C8-4253-9DCC-D4A485251B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7F2D1-7D06-45C7-8081-A224C2EB2D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55823-3FBF-412B-88FB-42DF9975B1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1F0FC-6CB2-42D6-9DF9-E857BC0A4E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94743-B413-4ADB-A7BB-B32B7F7032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C5E9F-BB3D-4E2F-B591-4A576BE6B0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42B1A-2EB5-4296-8CCE-DCDF7C6D24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903EC-C896-4EED-ACA5-7B5F1122A6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F30FC-CC70-4B68-9C97-3A97E55497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F154D-ABD2-4C3C-AFA3-3330D54A85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884CA-A7D7-4C72-8CD4-ED0BD83FB6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17564-CAE3-4B73-898D-E0F0EB6CAA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22485-81BA-46E3-AE55-7E466E49B9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4FDE4-C7E5-4CF1-943A-FB06C923198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8F8A1-83D2-49CD-B3E6-51923CE52E7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DA7A6-2921-455E-8F87-B76D058302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5FABC-E838-4FAA-A671-C768483B2E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5B66C-86AE-43CF-B472-2CB26EB93B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EC737-E273-4FB3-800C-AF9599247E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6757B-8108-4888-97D3-27355B640F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DDFE4-0306-46F6-A47A-BAFCA098A5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4ED0F-D88E-4FB6-BBE6-2044BBE659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355D5-6865-4099-821E-FBF2CEF8CC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B1D89-49C2-40FF-9E31-4A3A75908C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168C7-8123-4046-83EF-9011C0C0BC0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07411-2A84-4EF8-AC7E-4E6A4DF2B0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2036B-52C8-416B-B891-FD163640E8B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37871-63E2-461A-9A7F-76A3E67A86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447ED-CE12-4BF9-A00B-EA53A310BA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76E04-96CB-414D-9440-D9F1BDE4B9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30FAE-7F79-4A04-A4EE-9539E73E23B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3E3A7-ECCD-4D6E-BEAF-1D59FD4B41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254B3-5A34-43D1-BA2A-3F93A0AA6E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C4B4A-309E-4F0F-8470-3D3F103EA8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A8FA4-3B21-40B5-A587-ECB744F51A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B88C1-6EFA-4E2A-9CA7-54BE7281E1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40D4B-4E92-4CB9-8216-62C9510AE3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071E3-26D1-4B93-AB83-9B915231B6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4879C-4667-4FD1-9514-2286BCFC00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D62FB-2425-4705-9168-7113AA0D93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2ECEF-0FA3-47E9-A1A0-E128C8F6B27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90B65-D296-4AAC-8D88-69544EEE9C8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301DB-3C95-41B1-AED9-62FFB80BB0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09485-218C-40B2-B805-C59E669617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44CA5-7AA2-4350-BEC0-E4FEA05A19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26FA9-7592-4F70-889F-3FA1F73B5D6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5E12C-1042-4CEB-B994-EF89CA6182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D298F-6B5A-40FF-BE9A-C8FE87E445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89A44-FEFF-4C23-AF8E-CBC70DE4A2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106F4-E6F3-40E2-B6CA-1456A92D67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3E356-51EA-404E-BE6E-39A2A45E3A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7585F-BEB2-48A5-BD1B-AB06B13D13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B5FC4-C4C9-4AEC-AB0F-D70A0313DF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9B592-4DBC-4925-BCFE-CE0FD1B8A4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C4FFE-8712-48B4-9A11-6517327381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98130-30F6-4202-8EBF-C487E0DA2C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2C4CB-C2D3-4BC0-B8ED-625A370518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7465D-EA38-4B28-8BC7-AB02A8D463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ABCD9-FE2D-4A2F-8E4B-FC4D3EEC22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5A7E7-6CC0-4B9E-9F55-678F6467F7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974FA-57F2-457B-9738-182E873E66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CC3C0-55B7-4AD6-BDFF-35E88A8192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12C87-8D0F-41D7-9B8B-7758ACAC18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99463-238E-45DE-A632-6017FB68D2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AEBBC-D5F0-497E-8E32-E04A5BE449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B8D85-13FE-4A5E-8282-39C5334C55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488AD-E94B-4732-883E-97A4D594E0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09BDD-6B2B-4DA9-91D3-85B92405D2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016AD-2EFF-427B-A1D0-0461E1C3BC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90ED7-A2E1-43E7-85DA-5B496A18FA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0F2B6-5C73-4994-89B5-82233455A2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3B9B4-9DA9-4FE2-9321-8F74998BDD6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D5E02D-11BB-4A56-A568-96260D373F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B745A-698B-4C83-B9A1-F74DED94C5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72007-8A65-438F-8A68-9A52DB5D53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12A3D-072E-4FDC-8567-C189405DE7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F34C8-AFC7-4BE7-AC2A-A1D6EE00A4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40A13-8802-4D51-898A-273927C18D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66520-BE38-406A-B9FA-E49289B9A7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82F00A-070B-4F62-8146-927892929E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7EF3E-5654-442E-AFE5-06854D206B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658A1-262D-41B0-85CA-D7A8CE48C0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160ED-EAFB-4E5A-95E5-B4C0BF07A4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13C35-8619-41C1-A3FC-BE94B004FB7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1503B-96B9-45CE-AF3E-2FFF5FE373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5137C-67DB-4766-90DC-7EC87B7BEA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1A4B8-207B-4B4C-891D-ADD75DD021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81E99-A28C-4DFB-901B-2E2F39E1F5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EA607-F895-466C-B33B-A29D7E56761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068FA-F759-4D25-AD08-7BED037E76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CE0EA-B963-4599-84B9-F806D67970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FAD97-F753-498E-B2E3-0EB9F9E27FA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164F6-ABC6-46F4-82A8-D8FB92FFD0C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A8C86-4813-4EF2-992F-7E7AD65A04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CAB61-2D58-46D1-973A-E8D83298C2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756F7-9CC2-4A27-9D2C-73E3A22EBA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3478D-6C60-4618-829E-A71AE2D455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15662-4C9A-4F66-83F0-A1DC17F3A8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F9735-88D2-4538-89C5-D47314F8F2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5E3F5-E740-4D52-AE12-FCE62AECAB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B9CE4-285A-4678-804E-74492211C2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83A7F-7AFC-410A-B257-B7B71341ED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87D22-67F8-44D9-A68E-3F35F55468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B2B9D-5E3B-4520-82DA-D2787D5E9A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7EED7-0EB2-456F-BD99-3AE07F7BAC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B3648-9470-45E4-B9D0-04853E12DE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A99E9-0122-41AD-BA6E-0E0B39389A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0ACB7-731E-4855-B872-A7E1543275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B8F5F-230A-4615-BBBE-9475EFE213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508142-EB9F-4C8F-9D6C-82D824A4DC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A0840-3AB4-4CF9-9FEA-08A220D1B4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ABB63-6710-4957-BDE8-2C3019F36A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FEBCC-97C4-407F-B8E9-D71A03513D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C2576-A477-42C8-8AFD-5B9996F389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B908B-CB3B-43FC-9D89-218AB6CCDD6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44E37-7E83-4B71-A1ED-180506AE19C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D3201-9D9F-46C1-BE05-0F14E51181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BD529-F7FC-438C-BF04-C81526C628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26DC9-D596-460A-9587-24075B2CBF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A3802-BECE-4E26-B2EB-EEF4656966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42308-CB88-4F41-BB00-14AE721B28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A43D6-9C26-475A-8E73-66E1CD3098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40964-2C77-40F7-9B88-1F8ACDAC80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83C47-1975-4004-A829-17847D291A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20B74-F0D2-4E3D-943B-B079F1B817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FA71B-25B8-47E3-A371-55FA54B2A8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EBEA4-F696-42AD-976B-CA2CC92053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BE084-DB1E-4C40-A26A-2FA9A4AD91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684F07-9737-4051-B03B-FAF3F251F95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7F25D-ACAF-464A-B26F-3E0E3CA51D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74CA9-BF24-4FBC-AB9D-16BB4202CB8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4F3D3D-6B2D-4685-B12B-EC229E8D48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0F025-CD82-40CD-8E75-90B12C4EA4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64E37-5D9D-4D08-9303-BEC95FB4E0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ED7E0-5149-4F81-A2FE-66C59731BD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49C89-99F9-41D7-8550-03940CE5CE3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23817-11DE-44D8-81DA-DD79920EA3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8DF9E-FD0E-4220-9034-D7F94A9BDF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85B63-09EE-4F90-B6A9-C1149F3A1E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769DB-3073-4E77-838B-24F50950754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F1789-EB76-4FB3-82A4-CC30E54B2F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2E821-42CA-4E91-92A9-458D0A26F2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357C1-1E72-47D3-8A6B-C5DBEFE6EF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88B2B-4DE8-42B5-B9C6-A3D655BC9C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A0ABD-DE95-4A16-A9C8-B25FABFA4C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B2A59-4CCC-41A6-B16E-0C7E44D14A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7C59E-0BE6-4150-8E15-4803F63862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1720B-479B-4608-9E2D-FA019A5ED8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012E3-78A3-449C-B0B7-D01A60C21C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00CA9-B333-4A94-81D2-DEFA86E6A57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E3B0F-E2EB-4363-B4AB-2D8335B91F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56152-EA5A-44C4-96D7-8A2E05243D4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DA27F-BA22-452B-9546-FEFF915ABC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8603A-BB25-45DC-AA94-202DC4D64C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16280-7FAA-4C44-AC48-CE75E0CF1D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1E09A-BB91-4271-829C-8AB89C9644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D9D98-CF39-427A-B22B-586AFC6F750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537B8-3208-4541-A6CB-A2A5216F26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FD2FC-916E-4B2F-9E26-DF2153FD0A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10E73-DB1B-4098-AD24-337CC7C64F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12107-292F-462A-AB25-631C7646B5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8E60D-31F6-455F-B0EE-87604E04FD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F4DAF-9D63-4B89-B678-1BA513EA3B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FDBF4-D4D6-4DF0-A04D-4B9173B6FA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BB5E7-2DF5-4135-B01D-CB162074EE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81366-84E7-48E4-8D7E-DD7B5AECBB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661CA-C90B-42C0-B78A-019ECB559E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3CECE-CD73-486E-A8C9-7B1B7D662E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A0143-6EF6-4F12-AB38-F0001300EC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A6CE8-1C49-4AF0-BCBC-E3585A6149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B776C-C949-4640-85E8-18D2AD497C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1CD6F-FE01-45F7-BB4F-650C45362C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A0CDB-6997-4C8F-B68A-6F724F393C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A8827-5D32-45F9-B014-E0EEEF3028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93C24-2119-4126-8A66-B1B07E00EF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F36DB-A01B-444D-9B49-418EF5A01D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973FFC-1463-414E-8DE1-7BD9E1C294E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F36C7-34AE-4708-B8E4-4819FB834F6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59ED9-6D6E-4B73-A8EC-82DF475C03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B15D6-A853-4702-BDE4-E9F85225F9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9AA4A-0FB6-4308-9DEE-D492A83252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14B18-2D8A-4C14-9E75-FD4BCC738AA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D0FE0-5BF0-489E-97C7-2076E7B165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87258-E602-45B0-80D7-4F860D3A97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010AA-2E3D-4EB8-A452-373446AF03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B6E9A-E7AE-4122-B50B-61E1B21D2A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C0CEE-C125-4149-A4AD-E4841CC2A6E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F2EB2-E35F-4652-AFCC-9AF1851164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691C6-1C2F-4602-A648-3A108CE3ED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46042-C79C-47D7-B926-CBC005ECAF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9B4EC-CBC8-4A9D-AA9A-58C765702C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F577F-6751-46AE-96DC-D8918DB75C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93BD2-395B-4037-AFC3-24EA5F69BA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73A9C-FA20-41E0-95B4-B4B3B52211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CE511-E1ED-4189-90D3-0C83531B96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7B921-FED0-4EBB-94F9-B380448AB8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2FEEA-695E-44B9-802A-F08E029111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35ADE-116A-4127-9809-060A7E07D4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0B791-919C-4A42-8A66-7BFC9300AE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028E9-3D20-4FE3-8EF8-B263A45EFF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48121-E412-4D03-91B2-1E421090E64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F8BFB-2916-4B30-9AB7-9D59C85487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F1D20-6DD4-47CC-90ED-B732BFB60F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97150-3A98-4841-8964-94179274F0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E9F7C-616A-4E5A-9B84-124BF84BDA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A7AF6-099F-41DC-A774-F004D40C0E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48564-BDC0-458F-96EF-323100C748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5B50F-54A2-4B13-82A0-82C8EB1823E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F1AF1-D823-49EF-A48D-36D794E3FD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FF0E2-B445-45C3-96C2-59B5643F93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606C7-B41F-489B-B399-5CDC3A1D5A0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DDCF0-03A4-4CC9-A372-49C395B655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B25A7-0C2E-425A-BFC3-FF1D8F30A0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DC083-19D7-4928-862E-9F10412C6B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2B346-F0A4-4F47-8D5D-1BEA65D3AD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6A0B7-9039-4012-87A2-3C29BE4753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3FFFC-0C50-4032-9472-693B5F58A2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12FCC-02E7-4478-ABFD-20FD465B23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25388-90AA-4573-A626-ECBE55E9E3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89EC1-D696-49E4-B2BA-944FD3A6C0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8DB1C-F454-4751-91CF-873AEC17A6C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33E37-2BB6-4DA1-BB6F-E7E2031F74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F24EE-11D5-4382-974E-43B21F30A3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0DE52-3392-43A7-B1BF-2325FEB452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8FCC6-F53C-4152-B722-20CBE44E815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B97A2-4933-4922-BA33-AFFEFC8C9AF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D970E-6961-420B-8594-29A9A0EF9E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BC724-4DE2-49F5-B12B-F6FFF53303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A763D-2488-4AF0-9D97-D1896FD69B9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A6642-0E36-4EC5-910F-5E0BFDEAC9F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26709-6AE4-4663-8B82-AA51003508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FF3C9-9EA9-45BA-B23C-16DCA629CA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65CFB-7A1D-42C5-8D59-D81B8B8D64C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D6B3D-C2F9-4468-A43E-77F2F17064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ADCF6-4B42-4482-9073-E4903AB30B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E2D2A-CC45-4846-901E-0328E024CD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9B758-DCA2-4EF4-B68C-5601F51C89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ED510-F1BE-4424-AA36-DB3D75E881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10EB0-ECCC-4E8F-B50C-723780260A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4178A-2733-4452-AE35-3E7B9ED573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1CAFE-5906-40B2-9861-0AAD740838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2C88C-9D54-4598-B436-42AEAA5393B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21A62-90C5-4277-8019-A861D78AA1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0B677-5033-42C5-9246-6DC1BC0A2F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20BF5-F3DC-402D-B3A5-0F96878A39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B68AE-EDA9-4FB8-B6A3-C6821F5183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2A57B-FEB1-440F-A805-CCF443DEE16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6D43B-EFD2-498C-90A7-65B4408344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08F41-270E-4BCF-9AC3-4BDB53400A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BB636-1FB2-425F-A7CB-15BA9550EE0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421BB-34B5-4A1D-8467-E754A366235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1877C-6316-4167-9084-009CF2D60B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A7077-E26D-494F-A88A-A5EB66B808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29739-C666-4E92-8173-A2F6A99409D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50C28-F87A-42EA-8BEA-2BACD89690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3478E-A1D4-4128-8B6B-527C625A7E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89624-526C-470D-B623-AE83CA1AB1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4C8D6-94B1-4984-8CA6-2EDA6FDB61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32260-566F-4245-B7B6-4B0FAE3F8E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EFBBF-70B5-43EB-8B4D-0F6E216CBF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9CCF9-56ED-432C-BB26-53ADFC574A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A62C9-A0F1-4C3A-ABB8-A26E545774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2DF1E-8A59-4509-9D22-7FBB996355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99702-8677-40AF-B6DD-BD50C6DCCA7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4FCF3-8BAA-4325-879B-2166165EE4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9834A-07C1-4262-8EF8-4E9DF7BF55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90CA6-6890-463D-90EB-2E6D392E76D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001B5-913F-48FC-A84F-67ED61C186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83485-AF0A-426D-B724-34428CBA1D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32E87-0E4B-4956-95D7-4833C4A939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3D396-3D09-41DD-87F9-A3502A1AAB0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19375-D4E4-42D5-9FF3-AB75A08E0A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AD127-D28D-48F1-848F-ED01204EA9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9F864-68E7-4114-9AE8-45761DE957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1B653-B9F3-44B2-9919-7E11C2E57D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4DF0F-C269-4343-B652-9FEBDAD641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9BB3F-7B4F-4D2E-A866-242B81F2FEE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9A5AA-E321-4223-ACDA-82C1B6F34E0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4BF5C-F240-424D-97A2-685EF13A05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474B3-FF43-4A3B-A105-6495ACB3EF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D3DBD-6C2B-4637-9D27-3888CB7624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613AE-2E4D-4D00-ABE7-5970E5ACF7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2383B-2913-4BC3-86A9-1E95FBE807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06E18-615A-4AF1-8E58-178890C5F0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7FE27-866D-4E96-801A-B7912EF51B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652D6-A12B-415C-AF71-C719C121C7C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C42C1-53AA-44F9-A3E4-88FEA55696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24CE4-BAF1-490D-92D7-ADE7267216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900DF-3919-4D9E-937B-386BB86E82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130AE-8B68-44C2-B591-534B1AA485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D19BB-649E-4108-AC9D-0FDF193A188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8D21C-139D-4359-BC97-F84C3CB303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BBCCF-AACF-4781-BABB-735BA00BAE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8445A-50D7-40C2-8CD7-8CF5ED0BE93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9A17D-BF5C-4FA1-A4FA-FF11C2DED1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C8259-303F-46B0-B2A1-C550C6F722E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DBB9C-66C8-48E2-8769-83B9BA20D5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04572-85AB-429C-967B-1BD06E2BCA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2649E-5B5A-4391-B311-38FC0EA7B5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F1163-50C9-4107-B9F8-AE238DDBA9B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4FC05-7146-456C-9CE8-A0C1EAA356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51259-CD21-4F43-86CC-618D6E309E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CEDE3-C2F1-4BAF-9A3D-B4B9869E0F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DFD22-7CF8-490F-ABB3-94A7E4CB78E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EEA3C-0CC3-439F-ACCD-55382AE59D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E1AC2-33F7-4E9D-983E-468AD5D978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B4D7E-048E-4E71-93F9-407E00C1D66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31E8C-6F8C-4B33-99F1-9F84FB8A9D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CD920-465A-4577-97A9-385E6D83F4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E464F-DD3C-4E20-A974-219F355EE8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D34CD-BF12-4BF1-B340-C8D768C3C2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0B114-2B04-492C-A39A-7BBA285786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A37A8-E2D8-4865-99CC-B85CA44A8C7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9F2E8-6D94-4F0C-853D-581BF54131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BA9B8-A6A7-4495-86A6-A913FDA222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D241D-ADB6-426B-9757-2F59863B10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B3CCB-00E4-4C3D-A1A9-E84EDD6E61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A91DC-0E7C-42BC-9A9A-F63C7B78B6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73F65-49C2-4461-9BF9-71529C0A4C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0BB73-9C62-43B1-ACEB-6B93CE6CCB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F5DAD-A93B-4A41-8A44-309C5F6B55F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D85AE-0782-4F90-9DA7-EA17AF8C10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4FDABF-02B0-4D90-9F29-78C063A6C4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AD918-7A46-4601-90B4-2595B57490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0DA046-3D54-4A2F-B822-B2DFF1C82B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21D64-1AA4-4983-A9EE-F3976A700D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F89A5-2BBA-408F-8F1A-061430E205F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068B6-2988-41C4-B1E9-87CB2193AA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163E9-1DDC-4F4A-B1B3-3142675E10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217F8-3C9F-4C99-9859-5AEB02B12E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CBE3C-E7EA-4362-A0CC-2D1A629D9B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EE492-5122-4C51-A957-09ABDBDA74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B383B-2A28-4DE3-9492-89098704A1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38665-3433-4430-8760-4D5D2F06B89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54D78-19C6-4E3F-903B-201ECDB482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961D4-C209-4129-B0C6-DC7EB5A578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466B5-F7DB-439D-8BF0-AAB48DE196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91ADB-5354-4813-A312-FA66946152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799E0-4570-49FB-B9A1-C8AC42CAA8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0A923-93A0-47CA-8580-F4FC1499F90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7131C-6C3C-4CA8-A4D1-2C891DB23D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33D79-35DF-4E76-9B46-1BB9EC4B5C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C82F0-66CF-4355-8982-A102F76B5B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B0EB2-7A94-495B-AF98-28613584002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A6508-0874-4EC0-B15F-C4278971E31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52A84-1A35-46FF-9941-260CB23556E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1D373-6076-4993-BA77-573C8B137F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8AE8E-94D7-4455-9139-3A8081C7F8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868A6-6C1B-4C8C-BE2B-DAEC677982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D416C-2EC6-4BCF-A26F-F8F7650F14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A7F8A-9741-4151-BAFB-C8221062A0F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A77D7-CBC3-4272-A111-04E2935625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7617D-749A-48DF-B58D-D12E739C311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0372A-0E8D-4AF2-B58C-F823866588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80074-DE87-4E42-A8C0-ACCAF835CE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127CF-0924-40CF-84D6-3A389C58827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E9151-21C8-4270-B33C-80F8F2AACF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21FDF-C062-48B9-9282-33B3121803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81064-0700-4B6B-B614-58A272EB57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1B793-CB8C-4EA0-9E53-D60BEDA3BD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BCE7C-90D6-4857-ABA5-C115501DB3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AFBC3-3717-4781-88CC-40CB027AE8F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CBBDE-D370-476F-A195-2CC2ED2F4C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9D242-93A0-405C-AF5C-F6C45B9F093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693E2-775E-4F87-ACBB-B96FC99A07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F5CDA-A769-49D0-B184-B829AAD68EA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A802D-5178-4494-91EA-52DA6859DB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317CF-AD93-41A9-A732-A745B8E6CB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22BEB-A657-48CA-A5CF-B1E76E91A3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6B906-B1C2-4FF7-B78A-77DE59EAF73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0D2EB-CDC2-413E-9AB2-454A3C3778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A159D-88F1-4931-9C2C-1B801CF9B73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7DC28-9E02-499D-B9D6-81D508F5FE9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23A94-1E79-4667-BE71-AB8F45813A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4F1E0-954C-464D-87CB-4657D8B8FE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011F2-3962-45EA-B057-6AD54247C6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9F3F0-B108-4ED0-A62C-7F572B9C03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D6FA9-D7B3-4F30-9DD9-830F30DEAF5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0E347-78E8-4728-A10E-CE454AF4B83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5EE9B-97BD-4CD6-A7B8-0E2876D1F4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69E00-155D-45E7-AE30-70D8EF9B60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3E6AF-4D43-4687-9A42-53C8282EAF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1C977-852B-4A6D-BFD2-1EF4A056A5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7320D-FB7D-4559-BD57-8041B572D2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CF6EE-6CC7-46DE-B853-B19FDA1F99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DB92C-3E02-4331-93C4-2AAD1F551E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9AA4E-AFAE-4DE5-AED5-B9B7932B28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A9857-CDBE-4309-A745-4BFB096C24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D77B6-C426-467E-8FDC-C0098F1527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F6D7E-BB89-46F2-893F-27D65974AF2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260AD-7852-4B95-83DC-6C38E47D1E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25803-889B-4066-BD56-5FF42056F1E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141D9-F225-454F-B322-0079076998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E0216-3463-4D0B-BC5A-41332E2B369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4FB5E3-75BF-4ED7-B05F-FF5F1EB37C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78091-6F10-4D1D-97BE-86D786BD40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315F7-0D0D-4F1E-8EAB-B105B2D61E7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261D5-F55B-48F6-9153-2C6742724B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90E43-6BB9-419E-B734-2783F485B5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B20EF-C88A-4DD2-9444-98CCE0F99B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1C378-2F0C-43A9-821D-61F13E4FBA1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C4EB1-B418-48DB-B384-91CB6044A79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FB7EF-F4C6-4C22-9776-A708D97947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EDC5E-64DB-4198-BC82-4ABAD41A18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DFCAD-E660-4ACF-898E-92931D1903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93068-8151-4D60-B9CC-A85B812C4A0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F83E5-D1ED-4A3A-A6E3-32C0053169C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ECE05-C9DF-4103-8AE5-61DF1AA876C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138D5-01AD-4E72-A82C-1D6C36D206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C186A-24A7-4DA9-B816-7453E62F112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8AA06-1695-4301-A151-DEAFF07392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65655-9871-4CA4-AA6F-1E8719F967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EEE24-5341-4B76-A1E5-0AA35B357C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BAEDA-30D6-4763-976C-D4DE5CE21C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B0DB8-235F-4B52-9BC7-DEB4171EA80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29A87-6407-4CCD-ABC9-711B9D1528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9D2E4-E6ED-4C85-8454-76140042AC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2A76B-4E62-41C0-BFCB-CBA2128D48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AA5A2-1262-40F0-B0A9-792E3B3D6F1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7FA6B-41D9-4C4D-B148-F7B1F6823E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A7588-F528-40A3-B8A6-52DDC11E76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E7854-27D7-49E6-A2CC-BC82BE6E0F4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6AC11-2CC0-4CC0-BAE5-2B397C2880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70A23-B3CE-40B8-B30B-159B09E086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B2385-6CAD-4628-989F-0615407015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5346E-6A34-4FA2-82AA-5ED2A5A66F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09278-2C21-4A21-AF6F-CD9B9757726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17796-EBC7-4535-80FB-494E1E1812E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DFB665-4425-4E84-8D2D-EF8BBC1F03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61019-1DBD-4920-B616-22F89DEC06E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0EFC1-2D99-46AF-B268-C6C9EB2816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3B2AF-75C6-4799-9CE0-B47C3D5B32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27B2C-38AB-4D43-812D-2155BCE9A8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A8ECE-186A-499A-86B0-6BD2F39F74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C7E7F-380E-49FE-89DA-B473332E46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35804-EAD0-48EA-92E0-1FC77833BA7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D26B8-732E-4343-B8CA-79F9476EFE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1E30F-F1D3-4FF6-927F-6189947C2E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F6642-6BC7-49E1-9D0B-815E6A43C30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79F3C-0497-4E76-9396-3AB2A7E6FA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0FB46-664F-4F0E-9D59-C9CE640437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97634-C359-493C-A746-2F9CFDC924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2D372-CAE2-43D1-ADB9-451A162FE5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48802-18C3-45C6-AD42-7F8F6726EB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E8AC9-EC2E-4260-9FEC-FF04F79D4D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A5822-6477-4489-9264-BFDCDE9586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03682-1CA2-45E5-9C84-A2337AEEFF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0B992-B392-4F6E-83C2-023F6DE89C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64D29-B036-45CC-8F9D-69D66771DF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22649-6463-46F3-B6E9-D80812F2F6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F9590-B659-4D53-81D4-9BE5C254B5D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7D3DD-8C1C-470B-A825-A65F554903A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ECBCE-FE22-49E3-BAA4-A893D45800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F8D3B-D094-489E-A9EA-68FA88FE9C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F9FE5-BD5E-4089-B781-235344C3D07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F755E-EED0-4B14-8511-5664C4CAD7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0D879-A749-46CC-BC13-E77C86AF63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81CE4-8BB5-4DD8-867D-1667CC2D519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BE3E2-52F4-4345-BBC5-31A2A3D7C02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553F6-EC7D-47A6-A89B-61BF247C5F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CAD68-E9E7-4C43-863F-751B773C22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0F4C4-F4EB-49FE-8354-6403B504D3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3AFED-2EC6-4A6A-819C-5CF6825D28E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CD885-7FBD-4B61-89BA-21E354884F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113F4-4645-4D22-972C-43D14CECBAE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BFC72-898F-4E5E-BDF7-5AF484E686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2A333-F78B-45BD-AD88-0EF2A7DA10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2C7DF-1445-460E-87AA-7CF70D6A9C7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72003-E6AA-40E3-A71E-6522D80967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CCBBB-E636-4D0C-9A17-5DFC5C4A02C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1659B-B046-42D5-B5E1-3661CEE2D72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A616D-FCC6-4681-A49C-A1BB982193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88AAA-7914-4DE9-95BD-FF3BBD7858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FC6CB-7EF3-462C-B63C-45D869158C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AB409-0776-4D8F-A385-4614230DDD1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4543A-87DA-4571-A6FA-95D1F69E5A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4CCA1-8BDD-4861-98D8-7C4D71BF06B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37A4D-C448-460F-8713-CA32088419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8DF1C-FDAD-4C13-928E-03B6D50085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8C2F4-91F4-432F-B113-D88D2EA638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681AD-A746-4B0F-99A6-1467AF9DCD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301EF-B860-49F1-ACE6-0727D5FD001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FAC22-B379-47A3-ABA1-75D54A8E44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5A65C-BE60-40C2-B27B-62841CC0001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01C7E-960C-43D4-9325-2005F9A300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13994-CA3F-488A-8C63-9A6734D667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35CCD-AA9B-4560-937D-52580690D8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6A655-73EB-4DBA-BD3E-B44F16E3E3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D811D-985B-491A-801B-EF907F755FE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A214B-DA46-4950-A580-D72A1C47375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81DC6-138F-4D70-8D0B-2B6F4851DDC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77CD1-27F9-4AF9-9633-DBD484F1FC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7D999-714F-45D4-A72D-00D256EDB4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35292-54D0-4F41-AC4F-35907C1287B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92363-0371-4602-B389-C640A93A53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0BCC2-3683-45F6-AC7F-9157B9C938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F1B0A-2AA7-48E2-8D46-2F22170A5B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7885A-0D0F-4D1D-8E08-B9E4583552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CAB07-8459-4E94-BFF4-F9B81B4ADD4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31EF0-F691-48D1-9355-5ADE1EA0CE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0A81A-3A01-42C1-BD72-B891D29A74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E7E2D-A5D2-4688-AF02-041D7C7F2C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DD3DA8-C094-4D46-B0BE-F6901A58ED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EF9C7-D08D-493D-8653-8977EF8492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5DCBF-A6E4-403A-AF50-E54DE5B195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01D2B-50E0-464A-8ECD-F04BB3D414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0C0A5-197A-4621-8B73-C4CA79B000B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A0E96-8BD3-4C39-918D-110A874DD9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7559F-5B7E-41D6-BA03-43BAC1F1C71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B7971-E723-49F8-BF02-68FD23A356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5129A-147A-48CA-9CB1-4FD39F7FA94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71D39-C636-47DB-B32E-69BD3715E7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0FE8D-0E15-42B9-8B4C-C1976FCDFD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393D1-D769-4195-880C-0B73BD093FC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3BAE1-A69C-407D-BC1D-3EACF2D228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7B239-D8B6-4BB7-B3A5-4138BE2DB2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01DC4-E94F-48FC-8EAF-1174807E9B8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97199-79EA-4440-AB0F-9B29B1421B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E831F-6E98-41B0-A594-3A893A238C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31B7B-AA82-44E6-8D2E-35F6A11EA7F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D3983-8E3E-46D7-A78E-1DF76AB800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D621D-939F-42BD-B97E-01156570D0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A31EA-D143-42DE-84C7-9B4933940A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211D3-2FCB-4CE2-851B-30BC908888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B1C99-EB8F-4158-A922-D7E00E2174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1DDB6-C732-42BC-9577-D210556C79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A4DA6-F1FC-4B27-A3E3-54F21977AB9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C8904-1565-4027-96D4-EA9DF124F75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A3E0B-C2EC-4C3A-978C-C03B6242C7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CFE71-5DCA-43E3-B2BF-4F4ED1D79B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6BB13-94A5-4EF4-BEB7-2AC3EBA109A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84867-ACDE-4A00-AC48-6B936CCCCB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8C63A-ED22-422C-8425-5C098F2D7EC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8EF89-F803-4E0B-BE41-970686F020B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E236F-E8D9-4512-BA61-1B2610BFB4E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A36D0-DEF9-4438-9093-68E7F014C45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54C3F-C9B7-4891-B350-6DEEED18B5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95EF4-4013-4D6D-9FAE-8DB7C9DA1F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AB537-AB25-45C3-BCB1-0A9F1834FE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9850F-FDF6-4D91-828B-1415DCE5E7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F4905-19F0-4390-B0AE-B9B86E19AFC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D04B7-EAB6-4F68-A16E-5D837136BFC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FA76D-49CD-4501-9D72-BD5EC2EAFB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04D00-E3F0-4FF8-8304-E4B9A6F658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3C18EE-28E2-4258-987B-0C2C7B2DBA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9F744-7AFD-4C5E-B401-C88160CC17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9E6CD-2331-4B3D-90DA-C1E8B8EFA1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7AD2C-27A8-4A81-A791-777174AC8C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74AA1-48A8-43E9-8D73-7C8836571D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7F3F2-19B8-49A3-B604-6181A6DBA5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E3638-979C-4D88-A964-DD6F3502438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14765-7986-42D2-B70C-DF4542ADCAB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231AF-5998-42C7-A4C6-A0A90E9832E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1EB01-C08F-4620-B5EA-157BA3B689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B27A9-413B-4980-A9AE-8B1BBE9C1D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B997B-384B-4237-94D0-49782403AE2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07276-C0EF-4665-9975-A1350A95A0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6785E-B72D-44F5-A567-CD7A942DCFC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B5989-1CC2-45E8-90BD-9C107AE15F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973D7-540B-48BC-9235-6B8B1C1F828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CF84A-3060-4051-BE9A-9F5F4BE024D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0CD74-31C0-4D25-85BF-85747EE3A83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9C311-6799-4EF2-955A-7489FE509C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E554D-66A8-4D77-A582-ABA64C15D4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74F88-0A71-43C3-B426-2CB5F950CF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82C72-92D1-40FB-B226-7F002F275F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35413-1F1F-4555-AF4F-B530DDD8304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798B3-E996-46F1-8A0D-ED395485CC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E83E9-D060-4F3A-9D90-3B3B49260E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3B2D9-BA52-42F6-A25F-6EB745F861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EDE50A-AD6E-4C02-B9C6-A5533624F30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3165C-9028-459D-A10E-83E134BCD8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FD1DD-512E-4531-A918-70C0C4B7591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4667B-81F9-4136-9CA3-9F1AE77C4A7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28D84-B4F7-49B1-B7CA-50AC30E785A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BEE74-33AE-44C0-9CB5-41F44C8E7C1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F1740-861C-4C5F-8D18-C8F03B63E5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73360-FAD8-4349-977D-2669DA74243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3F370-5C6A-47C4-8714-A08C009B2DB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742D5-1107-4269-9899-7EA699A853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16CE3-4086-4218-8BF2-53833400316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DED1D-368E-4CA7-B6B5-5FAA1A1777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33FC1-14A7-436B-8BB1-B3F55118BE5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BC4E6-643A-4028-8BE0-BDFA0F08578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55BB7-7468-4641-ABCA-09ABDE1F174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AE264D-62CF-41F6-AEF6-01D50A9C992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C8A93-FBD6-40EB-8B62-B40FD6AE23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5050F-25E9-4DDD-98F1-E4CA9208341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F4596-AAFC-4FA9-ABD3-8D5754FF0B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2202E-C619-44FA-8632-92AFEBDB20E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CA8E9-F351-4FEB-A6DA-DB97E5876E4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B4436-FDFD-4ED8-870B-A1FF2B8CF16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4D52A-5F7A-4AC4-A963-425A48F45F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36342-18DD-4AAC-A716-459315D0AF8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E23C5-3BBB-4DAD-9F2C-6467A73CDEB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91F0F-EABD-44FA-95FC-D22FBB45C1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B1273-A9EB-465A-87C4-8876CEABA2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4E6EF-4FBB-47EE-BAC6-38D935B4F21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1B900-BA0D-4389-A33C-6831ED137D3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4F0D7-6024-41EF-B838-9C03367B9D6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99B49-F908-4BA7-A577-0C41B839DFB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FBFF0-E40B-4391-BCC4-5E65C52D3EF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67386-D24D-4F17-AE7A-7BB722733A2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9E9EC-FDA9-4DB1-8FC3-B35AA65FADB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F1E65-86CA-40CB-BF77-E706F09EEDA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DC750-236C-403B-9E51-F810BDBF9C0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DB9FC7-ADE5-47DD-834D-983D624EE51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AA0EE-4C4E-4710-8398-1332C25570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9D2F1-C1D8-4714-8690-FD3D594D4A8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5286D-5367-4A90-A4F3-607E73F767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212EA-7263-4327-8ACA-784C9E42789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F7CBA-B965-432D-937F-ECD84C4621F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3A058-19CC-4C45-98DA-224917C497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A091E-B554-42D0-95B4-E334923490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A031A-81DB-45B1-8F29-3AEC5422CD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C9730-781F-45E3-ACD4-84C5312E83D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B2657A-9D6B-405D-9C61-CBB29750292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F2C4E-169C-4544-9E68-B536195A40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A91A4-0FDB-4E2D-B4BF-BAF5C0957C1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18EE48-DF77-4A0D-9A58-B2227DE5C8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DB733-0F21-4B55-88EB-BBFDF2546D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4A502-EB6C-4174-9E61-4A997E073B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34211-E20C-4F95-8020-FF5B080EB7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9A6C9-CE80-420B-90B0-F70A4B51C9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A5CB9-C427-42F9-930E-61DA9D9F058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46402-7E56-4EF5-A44C-4C37B087776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B368A-DA05-4723-91BF-7DE25153E9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56C9D-1A37-4AF1-8EEE-E2EA1584DE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E0A1A-7F1A-4A5B-BC99-4C9105D10BB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48D94-2B53-47C0-A115-AC8BB7E805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0B322-73E5-4CD3-8551-F25E0EBDA61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C06F1-42F2-4F7B-A378-9748D72DD4B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7E63C-B0CB-4D0E-A5F5-81C35ADB1C0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66DD9-397F-4A02-B464-54AD07654AC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E784F-261C-4D05-B9C1-7E24EBB7C93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8FE980-DE47-4DD0-8F27-3500D372F5D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6BF08-71DF-40BA-AB93-D1CB0CE086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2A806-C3A9-4BE5-8A73-5D90E777F94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58DC7-0E51-4587-8C42-8B69D90113C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C8A79-26F4-4C72-833B-6A198F537E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774680-7E43-47C2-9835-702167218E6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07CA9-9C73-4959-B1D3-79D22EBE33E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E4275-79A4-48F0-A53D-FB889A99BA8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55174-EFD2-4A09-993F-8557A06B098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DCCAC-322A-4563-8A87-FAC07CB5CD1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6FA63-25FD-4438-B450-35081D0A7F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D8649-D074-41F7-B37D-37179DAC908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20EA6-01F6-45F5-9D2B-050DC639F5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C4B32-47B7-4A93-983A-8688B45865B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4EFB0-12E1-4AB0-A5FF-C0377547979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0993-6DD2-4B80-9CF0-4FC92DCF95B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483D6-BCE2-487A-84F2-6F34C918FC6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8FE26-C35E-4AB1-83B9-31DB4172000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76F6B-4ECF-4F99-9A69-76F4D3BD00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29EA6-0FC7-4B3B-B15D-3E8FA01611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97CB2-81AA-48EF-A6B5-3C1B98EA7A2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7AE37-3B95-467D-8AC5-198B7DA3BAF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2070C-94EE-4977-9D00-E0A66C7787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1DF7A-20B3-47A4-A415-0FCCEECE97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736CE-C642-4FEF-8500-8472682747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5ECB1-40AC-4D33-B3DA-4B7F7D3523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116CE-DF12-497E-BCB6-E3AFBB487F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53F62-3FD1-44F6-973D-4989C3CAE94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C5887-C422-4361-86E6-7A630EB5A7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97FCE-74A4-498F-99C5-7D24E39585B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E513A-E847-4C1A-A1D5-08EFBB31FD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B0259-FFD2-4748-9C05-F0DE648B197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BEEA4-D8E2-4C8E-B7F6-916654C8EED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5264B-B5A2-4C24-8920-D10FA479BA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8BF98-72E0-414F-9F24-9442B85FAFC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69687-BE9A-4EFF-ADAB-8429CF243C2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CBF8E-FC47-4DE2-94A9-C993BC2FA36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3C1F9-85F2-4078-A531-B89463B1B79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A93A6-EA98-4FF5-B1FB-6C5EF8CA3D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A0236-BD20-42BD-B3D9-F589898E5CF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6583E-14CA-4013-943E-055A6B37C2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13EEB-EB34-4411-B43D-45F6AF0F7F8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B3AFC-34D8-4C8A-B997-F970062D2E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A3363-1794-4544-9624-3D329977F3E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CF7A9-28FF-433C-8AA0-F1706BFB1B5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106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154F0-C1C9-4E5D-844A-D2430B012CF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684E5-8D55-431A-876E-E1B865A99C5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792AD-C48F-47A7-AB37-BD290641649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9DA9C-A91B-4627-8A29-75A1FA49555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5A599-AA3B-4C20-9388-C66826B2D8D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E2417-B85A-4993-80FF-F0FA53D86E7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71C42-7A86-4559-A7C8-D9BB54BB3B5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5540E-B125-4614-B386-087785236A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A275F-7403-4F84-ADA9-B1B2AE42A0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48AEE-D89C-407A-BAAF-832AD330B25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E2D18-41B6-4407-A52F-C2C331CD31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5838C-3FAC-4C7F-BC1C-92AD7A40728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6DAD4-44A6-4971-BB9A-1F8FAC708E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8BACD-5340-4A48-94CB-061D154ECA6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14F33-5744-4E51-A8AE-EA2E3D4B77C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A6FB5-0042-4845-BA9A-C712CCC65E9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79A97-3B00-4B79-8275-A7739D25500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C9DC9B-F6B9-4FCC-AFC8-9838F56D772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6B698-76BD-499F-8B98-3EE3B9F73AD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465EB-09F9-45EA-953F-E0CEBFBEF07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809A7-EFD4-4703-8A7F-ED7B77F235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95E26-BEB4-490E-A1C3-5144EAE934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E64FD-5608-47B4-BDF9-9BE624D9983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E13A9-DEF7-400A-AB5B-4EF808537CD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96A9D-CEEA-4DD6-AF93-E42F3DE7499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F988D-495D-44F0-ACCA-5AB0B2F5E19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A8477-59AB-4DAC-AB2A-BCB176AD9C6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C5885-4256-472C-9AE1-C0CC84F93C2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1AEE9-167E-4736-B483-F986288FF2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79F71-1A8F-4F54-A82F-067FD4D24D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953E0-5D88-4AE4-A8A4-5C527C9D765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AAB50-A67D-42B2-B03E-41D7D0777A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0A197-CE68-4E9F-A7AD-5FF3A148C8D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92745-94D3-480A-8264-751CB2CA117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723D4-F0F7-4221-9A21-8896BD28A56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0297D-856A-4375-8F47-B9851F83A0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7CF2A-FCE5-415C-A15F-96EF50897C7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30114-CBD5-49DD-9F4F-A74E87D5FE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4D8DC-2B1F-43A7-AE3E-60231F08AA1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1FC09-7BAA-4021-8B8F-B3B7F142FCE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E3A4F-CD3E-4E2C-89C5-DB72CA23B0F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5A083-0A83-47AD-A416-CB0034526E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3BBD5-91D5-498A-9462-81A889DDF2B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B6FB6-7AC8-4CCD-9D03-412457C51BA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76611-F84C-435C-8BE6-3D4BD35B27A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2F6084-0C87-461D-B938-9ACB76E17E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B648B-B04B-4292-A731-F2CAD897690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12AA4-1BCF-4853-A113-0911B8DFB14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D097C-CA02-497F-9F95-4AFA51011FF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E64B4-4055-4D46-9900-FDEBE4C1B59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EA0DC-F08D-4037-8BDA-B7F835E4593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443C3-BE1A-4D75-A86C-092125C5351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CD762-CF04-42CD-A0F5-A2308607B7F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6459D-48A4-4D4D-84ED-64D2EACD5A1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08469-9E2B-4320-B52E-B81978BA995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24715-D3BF-4429-808F-8081A4C6168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28F83-F30B-4935-BD21-B6AF76B809AD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E64AE-5D72-4B5A-B558-008F6678C49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4B4B0-FEC8-4D81-8FF1-2F10028C85A2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2B579-24C8-4255-BC60-0EB4525211A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E192D-E6BB-4381-9FBF-7F5B68600BE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0A8CC-5DD0-43C2-A090-E61FCCFACFF3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ADDEAD-B139-4ACD-8AA8-5EFEF5009DD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CEA8D-C34B-4D68-80E9-5E804DE654A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BE281-EB65-4008-8E2C-C627C078D1F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133F0-0DAF-4FCE-9D9A-285F7C96909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0B361-F82D-45EF-AEF5-03E869993DA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83229-869A-4AD7-B9AB-2F480BF51D45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980CB-76FB-4117-8264-80C1FF67FA3B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11F29-F9AB-4A16-8FAE-B1D47EAD83A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5F48E-DBCD-4615-BC15-455A50525EA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AB6AA-4026-4956-BCF5-83161FA680C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7E09D-02C6-4498-BAA0-FFED17F757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BD6E9-91BA-4784-BC5B-A49714F49AD4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C785D-9F44-4769-AE5D-FA5D218E3C1F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84A34-7F97-4B27-B72B-99C2BF00C8D7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0AADF9-3619-49E9-BD56-B515BB598981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DD17F-E16B-4206-9124-C0CF895F6E5C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37AE3-01BA-42E7-829E-7E872FC47846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2B002-C8A5-4CAD-8BC5-EAC6BB3033D8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4AE34-75BB-4948-A94C-B048EB3EF43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906C0-712A-4D5A-84B6-30967BD4B17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4759C-4B57-4E53-823E-EFC9BD0CBE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24B65-B7BA-4427-A789-99B8CED3D9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6B756-4DDD-4200-8742-7D65B68169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EA555-20CA-4B9E-8744-0487DB4CE5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7327C-512E-40A4-9E09-C419C3980F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ABB35-EF5A-46A9-9B72-81D309D707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EE586-EED2-46BA-81B8-95B97D79C4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9AEC3-6C79-42E1-B9E9-C0ECF0FCFB9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617C7-F31B-4277-BC56-204ED54F2D9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D492A-328F-4EFE-A051-A5F1DFC9902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4862E-45C5-4C24-A610-6F2760D24C8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0CBF6-F62D-42AA-A850-3F1CA18DB80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8344C-9BE1-470C-BA59-389598DC175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C8ADA-DEC1-43E0-931B-68831E12118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88D3D-3E53-41C7-8C89-FF28FAE5EB1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75105-9B4A-4E33-BFC3-3EF1DA644EC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814D0-7854-461B-A867-53CD43891C2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67CAC-735F-4B33-AAC2-7803BCCB4B6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EADF1-82D4-418B-8FE6-E3E46A0612B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77ECD-A1B2-4E41-8D92-A7FC08330F6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C7335-7E1E-4609-9A99-9937E710403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33FF1-795E-4783-B069-6EBC29BD0B2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BC2B7D-A979-4C4A-821F-2853EC2C2F2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EE793-C7C1-4027-A846-0F3915CFB79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497F2-17B8-4FF3-B4C6-CE4937C46B6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03796-2F02-440D-85BB-097FA9DA6CB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A0672-57BE-486E-8138-E00F232BCAD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D9230-34E2-4E52-9645-57175DC4024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A3E67-A7CF-4115-A5C4-0ADBF10FCE6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D04F5-825D-4383-9E1F-0F4ADDAA1FD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0B243-B041-4614-B1CA-E6B908CD5A5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477D0-7C11-42B8-B463-83422895BE0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14966-719A-462D-9790-23867C8C421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B6AE8-D85D-44AC-9162-3A6324F1071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944B0-3FC3-44A7-AD26-B43AC4A341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2C251-0F7F-4D0E-B1C0-2666918B199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3D47D-FB0E-4712-96C4-35AB305983A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177C8-44C5-4831-AB20-4C3D3CD5A8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9C316-EC99-4EC8-9A86-65CFE3DA31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9A6915-8317-41B7-85C8-DFBEB9C9F80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C9BD2-4521-40EC-AD36-5CAE515A54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5C812-AE40-4459-A0C9-2C217B389A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52929-DB8C-4841-AC07-9BDD7E94C7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5EDCB-9494-4018-99B3-4371E7707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A38FD-6CAB-45CE-A2C3-8F7FAC14E2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0AD99-20DC-41F0-8524-44B0C51E32B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4F662-C5EF-4432-8F47-6E6FF0037D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1F5E96-8C7D-4E22-8C41-F9B3422E0D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C1A6E-0B42-4DEB-8F49-AC1A6EF525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147A2-C729-424F-B2B3-370D8948358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F8783-E9AE-49DE-A5FF-F09D28DA5C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CCA69-841F-4845-90FE-6D5117EC6D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64D07-7A57-4328-89BE-696E53CF960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87A65-7B60-4C99-892E-7AE5A0694A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EB74B-F3B2-4439-BBF2-9397D19582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49972-3A51-466B-82D6-DF0DA93CB0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FB0E9-92A7-454F-8CE2-45BFEA44A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23455-D893-4C6E-AD6A-177C255B9A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AA5A8-616D-4E49-8564-FDC6DDD61DE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F6643-367E-4DDB-A507-B9B7272B4C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85716-8C40-4ACD-B511-0BD5E727E0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F303E-7F5B-4B10-BEC6-9EC0502DEC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E0095-7C8A-4BD8-A2A7-6109B173AF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B661B-2B46-42B1-AB62-7F901E4F5C4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3548D-695E-468B-96F6-96DB2C81F4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991FC-5B81-49EC-9771-95EC17EED5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DF3FC-EAA9-4457-9442-10854B1A08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A1AED-0F04-4517-AD9E-18485230CA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C3C70-D525-4E8F-9D3D-85939259E2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F5872-468D-4CE6-99A0-4F87AC14AE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84C9F-36ED-4939-9DAD-77FDBE5A6DB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E5F56-B1BC-450E-B3AC-A0276ADB777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88A03-3BFE-4EF0-A3F8-8AFD2FD5157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EC0F7-6605-4591-A429-998D95F93A6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24E3B-C734-4F3D-A17D-C5D0DFDA9A2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C1D8F-478B-4D76-8438-E581E11DE84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14DE1-A1A8-48AA-AB6F-9F07B478B88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D7B15-8AD9-4A4F-9519-5F52B2D0B0B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0ED55-ACBC-40FB-8E5A-AEAC57CF8C9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C2207-F1EF-430D-89DC-7C1A4985FB5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582B4-F3A3-4197-A2AB-C6597ADF727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918C7-8F2A-49C4-8988-555B9ED8CBF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43F38-28AD-4381-8CEB-A1095113EB8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4C98D-D1AC-4D53-9F5B-7F08326D6D3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ADEE1-6E32-454B-9E81-F3AEFD38A77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8F4CC-5FB3-45C5-87AD-DB2290EDEAE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0C5F0-0425-4943-94C8-F23FE9D5EE8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036537-16C5-4B5A-8042-1759942469D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543AC-4A91-4224-920B-FDD95F5F669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564D9-8073-42DC-899C-EF1C2C90AC7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7C00F-73C0-4EE1-A9D5-8435C88D864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C7287-0E05-4F6E-BBD8-D4BFBFC0DE7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EE623-CDC8-4DF8-82D6-B06ADBEFED7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052BB-62B3-4F94-8AE2-AEB4E043FA2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8A766-3FD2-421D-9E35-54DC5B2235C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6EFAA-8B31-43B0-9726-911E44697F0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030A8-4427-4EBC-A70A-C846FBE549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5A91F-DE47-43DE-9715-6D4993F13AF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C57D0-5CEC-44CD-9B0E-D2172B53374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4F3B0-13D9-466C-A590-7D0428953E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F4E30-42E7-4A1D-8550-F2C8EACA98A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2B68A-EB5D-4325-AAB1-AABCB11828F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38736-97B7-4081-AB23-D9299BB596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4412D-0A9F-4D46-B0F0-3FF4C04336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E2BE7-5738-4D5E-9F46-C77B7563AC2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47C7D-FF18-46E8-8493-71AE84A4944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572F4-4394-4A8F-A103-A8A447C167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A3266-C5AF-441D-8222-FD75D08441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8D14C-9DD7-493B-8162-48D2B3498D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B924E-1418-4017-93D0-5905C1CEE9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755F6-9291-4EA9-8783-4DD5D344E0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BA708-0FD4-4104-9C65-62D7E1CB5D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0B2E2-755F-4A5E-AEF3-8FC4538F254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C2480-AB73-4D5A-B8B5-82C50B8A52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D71E7-1ED4-4288-BE40-254C73BA05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FD4EE-85E0-4095-9EB6-4CF570B844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1B721-0414-4BC2-989C-46381B93FB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CB265-EF2E-4D58-92B2-F5011EB17E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BCDFB-F319-4B15-BA32-614728FF07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FDEC9-D2D3-4BED-8528-35B73EA933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0818F-D640-4E9E-B452-A891DC3F77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E0783-53D0-4133-A5AF-94D49B3A1DD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FAD9C-5005-492D-B21A-1123DB34D3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32CBC-3D3E-479B-BCDA-111B917900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40024-7164-4DAA-9A98-31108BC670E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D6098-858A-4812-A911-0BCFC727D9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2F09B-2A3F-4BF5-AB55-C4E6984924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29348-0949-4095-AFE3-A3B9CE34D0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BCACA-72C5-42B2-B2AF-E02902302A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5CB33-665B-43B0-9D4A-5633472A85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CB8625-32D6-4A42-9E71-33E0EA100B5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01868-05B3-411A-A165-4ADED96086D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33D5D-4027-4D14-82D6-7E9E4F355F7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7FD89-BB8F-456F-B25D-0F38BA3286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0DF8FE-83FF-4854-AE02-D8330C6A568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84AD6-7B66-4607-A287-1AD6466086E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E4604-8A0E-479D-AB7F-27208EEA11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8B75A-B823-452B-9005-233C2AD8E3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A4C65-D2C9-4C5F-A336-7C3B8D2C488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3F40E-9863-434A-8ECA-C4681D266C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E917D-B5F5-475A-A38D-37947575146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E90A4-77EF-4F88-810A-41CD0F893E7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D74C7-29D4-412E-BC73-2532EAE945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C988C-1A39-4D24-A348-98C93CB3CFB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2C583-6940-4807-9449-9AA2AE00081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3D72F-85AE-4524-9BDB-E42C13070E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A0A6E4-4EDC-4121-A828-051B0FC913C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5CA93-A610-40AC-AAB3-FD420A48DB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33DC2-072A-48E5-B27D-2F6C22B4D9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666D5-EFE2-4668-8D7F-6251720B694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AEE4BF-30B5-4668-9C3D-1BA57FAD32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46E2A-299D-47B7-B851-6A41B23747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AE1AB-2400-4B75-95B7-E5B0D8C0C7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F1DFF-CB2F-43CF-BE87-7056F5860D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6624F-38EE-48CA-AA06-C9D9E7D6780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EE4A4-0556-4E1D-8ADE-EF524A8A53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6A0D0-B297-48DE-B45E-93A9A8911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8E2D7-5C67-4D94-837D-CC916618C3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B2112-2F0C-45CE-96F0-A58DDAA9E7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9E26C-25AB-4482-B2CC-CC1FC01657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C17A7-BFE1-4087-B4A3-2A8475C0487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0EAE4-F93E-4B66-9FF7-4E9732F06F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6DB72-EDE0-4E13-B700-91786C073D6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811FA-916B-4AC5-8FF1-53E0C197F64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0E2E6-504C-4D50-A6AC-056D94545F0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B6CFC-22EE-4F56-A017-17A8DD5F47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8E6BF-4696-4C34-AB68-9477186403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B4B56-6718-4CDC-A61C-DFB9DBA124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2735C-E676-4C68-96FD-ACFF5F7FFA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1AEC9-C5F0-4E35-A96C-D3D0346DB55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3C6D6-045B-4761-A9D8-D8528475CD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0D746-F9F7-467A-9CAB-0C5664CF72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0A28F-B951-4E5F-9FBC-560B085C26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84350-B05E-4CA1-934F-F977924E189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318C6-8B7E-4E7C-9304-9BC46D4CBB3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7D3BD-3ABB-4C6F-BC1F-64D5FB553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344FA-DCC5-478E-9F1C-DFB93BC488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C8F4D-9025-4157-A0AF-55F6A03A952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5099BD-CF48-4F85-9529-CDD31AE1E0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CD1B0-E43C-4B1D-9A93-A391D5C05FC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7DCA5-342F-42E2-86D8-E0A8D55FF0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AEA25-DF70-4117-BC52-BACBEF688B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F280B-2085-4F66-AA80-C696EB94D3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B730E-B3BB-4D23-9ADB-60351529DE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8C62A-B838-44CD-B452-060A68D4E3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474C9-885B-4A3F-81B2-9ABCF82E1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CE584-5E37-4430-84F7-3E34D4C9942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769DD-3E97-4337-B92A-548899694D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EDCB7-5A45-4FB4-BC94-EA73EF54E74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F4B22-2141-45AA-8BCC-E7ED66D609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9737F-E32C-4D9F-8D14-9DDB662BFD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5E598-6D7B-4753-BC49-AA7C4B9B85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65402-6CC8-4D12-8009-FD040E11051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FB83F-CF41-43BA-95A8-10338FEC57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F35F1-190D-44BC-A571-CD9259474B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C6F3A-8885-4B42-A2A4-3BDB36CE87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B0CD9-3813-400A-9DE6-6F0E2489C3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A4744-46C0-4834-9E32-3650D6772AE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95874-4D69-44D6-B8B3-14FF40EEEE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F9E34-5558-40B0-923D-4E7DD16364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1F392-A401-4E6A-A035-98AB4A3F3E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00B1D-95A2-48E4-A532-AB0EDE3CD2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BDAE6-50BC-480D-AF22-BFB5F44EB4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8FA12-D5D2-47C8-B7C3-7FF89BC8172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300D4-E24F-41AB-8C09-C4158C1F130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C31B2-BA96-4942-A0A8-8FF0F738C8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88C82-9DDA-4CF0-9470-37159BBED0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9D87E-6DCC-4F9F-898E-E9650F0E2D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11A7F-6B01-4EBB-B7C5-8BDE8B63DE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3DBEF-3866-41E6-91F3-027FD6148F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7AC5E-FAD1-45AB-A271-B85FA5726B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AA7B7-84F6-446F-9EF6-BC960E3A5C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003C4-1392-40E0-9F2F-2C381F5EC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B2286-FD65-4027-8FF1-DAC5704C08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27F13-4F1F-4797-BFFD-6D1E55FE7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9B252-A209-4479-B44D-AECF67C9444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F4EE4-7DEE-49A5-9359-1654C68E0F4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F9487-F3D4-419A-BEE1-3797FC2B6A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0737F-8194-4E63-8D2B-E3CE806999D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FAA8C-2828-48A2-851D-F2C8C73FCD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63EE6-C302-4E3A-9C17-590862AE3C2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1DFFD-3D54-41B2-A582-B76B4110BA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AB81D-336D-4399-8714-CE74CB7C305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E0E01-F212-4507-A3D4-1144F67A7D2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DFAE34-5C2A-49DB-9727-6592346E25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9D254-5335-4879-BE89-9C39CEB0D6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0EA22-A761-46F1-A21D-CA7145993D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D78D3-94A9-44A0-A88E-C52DDFBC62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F5522-FE4E-4D1F-9030-B9D9DA1958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DA416-AE40-42B0-BCEC-E699ACC0731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3C5CF-7EBE-42C7-AAB0-CC9E9709D4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F0748-A246-4615-83F4-40026537F6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24CB7-8904-4F84-B5F5-308F601CE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7E931-C2BB-43F3-A888-AF5E429F14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4D2B3-699F-4722-B725-1EF19830D4E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D433F-E63C-4FA5-A8BF-BA1C16F3D1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03783-0C31-4614-BDA5-88CEFD0C24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50069-7F9B-4495-B58B-478B239116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2F0A2-FFAB-4EB2-8573-F9EA536344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4EBAE-6CCA-4A9F-B6E8-A1FE747682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7796E-754A-4126-9C34-EC36379DB7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CDFDA-05BC-4276-821F-CC9CAAC0B8C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2FB56-762E-47E2-8412-235832C0CC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67B9A-AAC4-468C-AF88-C400E838234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8BA7C-6D09-492D-B839-06F5AD40A5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AE1EA-111B-4AEB-BFB1-9E581C331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2CF92-08C2-4506-BAAD-EA17F7D0947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AE011-0194-4D50-86CC-975A7284A1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510C4-0C05-4789-B920-D5F5191D80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1E43D-5014-4C34-A8B9-A070144AEE8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E88DA-81F2-488E-87F8-DC8644E1A4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CE503-7CC7-471A-AFCD-A5BA132896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549BA-F082-49A7-8A71-D3A86C9734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6DF21-7876-4FA2-929D-BB4C432AE4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C5B7D-4B0E-4B2B-BA2A-8D9A12B0D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B5C8B-1DA0-4D3D-921A-E9C1CD8689D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F5173-85A6-48B0-9139-224AFD2460F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28F1C-CD80-4F06-A9DF-238254F7FE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1D71D-E31B-42D7-ADBD-A6D9D914203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C3F75-5592-4CEA-B964-F97B469659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F6E77-25D7-4A64-98FD-1AC43067D0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7B61B-1E72-4BB3-A8B8-44D9EC0B063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E0940-E6FE-4320-9605-91F2CC9D062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19D4E-14A2-48E3-B11E-BFFA9429247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28786-9A69-4C4D-B51D-925EC5D1F6A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0BA9C-7D7D-43AB-B403-24AA8F399F9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A4313B-4755-41B6-A333-9A0994EF65D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5B613-1984-4D6F-8CA9-D6345BB8769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298E5-DB64-4E66-A3AE-619FC7589BC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EF23D8-927B-42C3-9D52-03A63F8B66B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CD369-399E-4139-BD26-A50486C3CA9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A5CCD-E4F2-4D6D-8491-BDAA99EDAC3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B2E52-95AD-4F23-8AD5-81BFD23AB3D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93886-77F9-4FBF-A267-9402C979346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073A9-F95B-4527-BEAC-39DDA7CCB37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AFE2B-AF08-4BAE-A4A7-C0CB2BCFC73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A2186-B5E0-493C-9DBD-0632882DB39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8C915-01EC-44F0-8232-0DA9A726786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D2107-60E1-4572-88A5-53207C56635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FDAFB1-63E9-4CA8-A31C-377B256144A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2EBC0-BFFA-4260-A03D-304DACE7E4D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885725-B3F6-4B98-B242-7A218AB3F4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A2CDD-DC65-4028-A25F-C7820CB6076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F24CE-44AF-4F43-A917-4A895BFAB7A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3FF2B-5AFD-4608-A8F2-71E8AB7B1B1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D4460-62B9-44BA-B649-2032EA33F30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FBC9B-B8DE-4E36-966C-D65FDF6B888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4C05E-3A52-42B0-A6B4-D15F93C1395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D060D-EA4C-47C7-8ABA-4442C71AD25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C1A14-D853-4EC8-9790-4F0E1AA5898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2168D-6ED4-486E-9D65-7F12A226FDE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97BA9-D748-4182-83D9-154BCCA7701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F64E9-40EB-4A60-AFC3-9865161D627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06896-1286-4799-820C-94100FE5F2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F84E0-F049-4A16-9EEF-D4AD37800C2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BA416-FB0F-4B89-BC47-ABB06CE6891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D9F62-5165-4C00-A908-7F382A48393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767F9-7768-4CF4-908D-EB4BAD1F539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86B3B-C0BA-4E1C-8489-F67FDA28540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87A442-21DF-44AD-87D1-3D3C6385419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990BD-43BB-4021-8CFA-0BE08C6A110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FB2EE-BA3C-4F2D-BC73-85DAD67368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DB5A2-E8EA-46E7-855D-4A41C093022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82CFE-7041-4ECC-B252-4E6DA772899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9F34C-4B8E-4BBC-84B7-14DB70AAFEC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73EF6-2671-484B-A004-503F6832BB2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5E7C2-9A28-4E1A-846F-AAE494E59E7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55FF6-DF37-4D80-A57B-F84C5FC777C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BB172-B94A-463C-B110-73DED7C1F78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17E30-168B-4835-809B-79A6E5408B6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CD426D-84D1-446E-A34C-B3505486D33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B5DC3-6CFA-45E0-B855-C658804CC18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1E12B-6E97-4364-B925-D5AEF054A17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3D742-340A-4487-AF79-2CD0E58C480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3C91A-A2BC-450F-9D4E-A46AEF3E33A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72A48-9952-4E94-989F-9A1C00DAE7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DA566-1193-457B-9FE6-E98BAD8C46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48D28-ECA2-4139-BA45-13CCC0B686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EA3E4-AEC9-498E-945C-2C2921F37C5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1989D-0A56-484D-90E5-AE42CB63BBE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299C5E-239D-4F29-B471-02CFD3E9EB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7372D-6D96-4B02-BED3-D1953C3FCE5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66DB7-AA1A-4278-9858-EFF30EA339E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04F41-CF9B-4585-9611-541C7FFBB4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91DC7-AA55-400F-8EF9-34566AE57E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D7FB0-CE8E-4F86-958B-0F15C23DA4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36E33-84E6-416B-A7A4-2AC9A31EBC5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C0787-7E25-4AAF-88AF-746CE5E009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22DB5-F2F1-4862-B4F4-EE537EDD2C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F8234-9E60-49B1-88DF-F04342818A2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DF7BC-21A5-43D8-8C2F-FE8CADC0C1D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0BFED-85C5-4EA8-8C73-4F0FB6F55E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E22FA-C362-4547-90B9-0473F735FF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B591C-781D-4ED8-BF8D-17E70B77DE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46D41-6458-4AA5-8154-665489CB46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6AE96-25CF-4C9D-8F99-BE92F173304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D2DE5-8B80-40D4-B805-28298F5208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CB8C9-7C0E-4A21-8855-17E2641380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3BF7D-5FF5-4296-8334-BDF29B0C03A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2B8BF-071F-4482-8B3E-1E863F6EAD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CA7F0-C75C-4F1D-B189-E96BF5F16A8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9DF1F-CD53-4B70-8F84-815172E6827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EB620-8B05-443A-83CC-25FCD9B852B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8F022-4FA7-455F-9B83-649109C61AA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A26F84-DE36-4270-B024-31E41816C6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BBA03-5FB9-4171-A776-A8D90E775D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B12DF-F6A9-4D7F-8741-5E8BD338604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3E6F0-AA35-4387-800F-BDC80836F5D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33126-0735-4900-8BA8-8B916BEA46D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A9753-8AFB-4100-BD13-22CD4B43FA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8F3CD-7C01-44AB-94FC-1859C56A53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EA516-F74D-4A3F-B927-9573CFB17B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6C43C-69D6-427A-A461-B674857B88B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6CD1A-1BD5-4C74-B075-099C4E8106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6CA0E-82D5-4A3B-BDB9-D1B33C4D71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5C9ED-34FA-4317-9B30-62F9BD5EE5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9CE93-4787-466D-8724-3A9DD3D153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69972-3903-43FF-BDED-9134FE6632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05C46-EE64-415A-9800-7FDA513B53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A5255-02A2-4D97-A425-1EC2F1BE12B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01791-D8BE-4CF2-A51A-D1F5E0042B6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C0572-8F6F-43C6-8AAA-315A49D6BF9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DC510-25E7-40E8-871A-D944D57782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363A5-3886-4317-A85C-18111E19148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4D586-1F35-476C-9EEC-CE37418D8F6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AF8BF-BF62-4EDF-BAF9-AF727CF1B7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B623E-6B47-4FE7-8134-F5701D802B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7747F-8B33-4EB4-BF16-386FA5CAB4F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883E5-E469-435B-AA03-F02E0FE8E4E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8CE2B-C912-4DC3-A699-35BCB57AF8B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F0912-BB40-468C-AA05-A661FFEF61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F66B9-5A3A-4B41-A96B-C4296EA219C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08A30-BDFA-4175-9E94-63A7D5857C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60752-E773-4688-BF9C-ECAC1996290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4D982-14F3-46BF-9AED-C3DCFB400F5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1CC62-42A0-45A1-9190-AE8191F0B1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058D2-B403-4BF8-932A-A644336740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CF75C6-9009-4F3C-94D1-DC4875D393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21730-56F3-4A4D-AC3A-9D750C19FD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0AC32-1E9C-4258-A260-E5186E1810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44BFD-12FF-41E4-86A9-46A0EE7E58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D4CDD-C02A-4BC0-A4E3-BA4AF1C18D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FDD8C-BE68-4150-9585-AC225CBCC0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7152C-2C00-4F9B-A5DA-F142E49B46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DDD86-F4F9-47BA-9FF0-AC7E477A050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7294A-AED5-484D-8564-A0EDB9373E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181AA-2BC1-453E-85A8-151C23B099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BBBC3-624F-43DC-B837-AE047E1DB6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65C60-0E45-46BA-86FE-744200476E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B9A51-9B51-4EED-A152-057E7827EAA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DA1B7-7753-48CD-B6B4-3F9B37E5951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E872B-755E-43B1-ADEA-ECD50E9600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C609-C270-40AD-9162-C26A6D09C4C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3F8B3-E32C-4D91-BEEC-FA93E8A208E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9D8A8-40EF-479A-A72A-79F61FEF3C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ADF4B1-BA5F-4293-A568-422FA9122A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910E1-DDFC-47E0-953E-7F55341247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58E7A-A772-48C4-844A-CDD50259A77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A0945-5E7E-4678-BE9F-3E46FF0ED2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E2E63-A6A2-439B-B1C5-1A17CA4B96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C70AD-CEA5-47C1-A971-CF3FA8A7D8A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1FE89-1794-44FE-ACE6-4D1C775002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132A6-E6B2-4975-8D9C-E65E1004110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FE666-7BAD-4A12-AFDA-F439CFAE686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5D9FC-7D98-4111-836D-99C5A35365A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67097-BBC9-4E8F-A027-9F4D6E799D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9C63A-232B-4E80-BE4B-A74E829C2BE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ABEAC-7B63-444A-8CD9-D8BB9ECB419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83BB2-E53C-477D-A3B8-C8D6FFAD8E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C6196-EE13-4AA6-8741-CD3F1FB93DA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3634F-EA46-4798-A66B-4F0C777562F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A7253-020D-4A7D-85B0-76E8E9F6F42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8DD1D-32FA-418C-AEEB-E6C4E2B1058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29AD5-6863-401F-8561-9973A86F61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E431C-9298-4024-B6E1-8C1F1EC9A08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56653-13F8-4187-BBDD-5FD0305D41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C8E52-737D-4560-BBBC-64969E64C1A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7A875-6C88-4E18-974D-39A0F3FB36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56958-F588-4E07-BF64-180EE577E45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63F2B-49CF-47DF-BC37-9325C1C1B6F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8CA5E-00B9-47DE-9442-EBC3BE1CD1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614B9-83DF-41D0-91B4-1A9AF19C6BE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5CAEA1-CCCC-4FA1-BB2F-A9D5E87182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1C753-9652-43A6-B6CA-D519795A25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227C4-CA38-47A3-8A35-647277937E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86DD3-1E11-4434-9C6C-CD4040EC4C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A4A1A-03FA-4A6D-A865-9B28A5587EE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BE643-636B-499D-983F-0F598300D44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34EBC-96AA-4245-8265-9D44310D70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2DC1A-90CA-48AC-90F6-9C8642BA48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82A63-9ACB-4694-B649-5A6F7ACC70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E7873-2F4A-4A9F-9BC1-3E8D2EC3CA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674F4-1EFD-47E0-B6B9-E9087AD6A6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A5BC8-584C-4B9B-B1D7-B3419B58D0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BB5EA-14F1-4E33-B106-C7492DA0B6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B0690-0B1D-42DC-A392-3F525DA005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D4B0E4-79B2-431F-B9D6-E206DA34A9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3CB2F-1409-4EAE-A4CF-0538AD28F3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19C48-3B44-4E3E-A1A4-07363517CB9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D4D8E-D5D0-4C0C-9EF8-D3CF4BD1576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0856C-388B-4BEC-976A-2AB34926D05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6FBDF-A955-4487-847A-1122FA3E7B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3900F2-CD0A-4DEC-9455-8F17EDD53A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A6B04-C2CD-41B2-9C0A-5EEF32BF81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1DB6A-F948-447D-8421-B712911A3D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54106-10B4-455B-9379-77F2FBA0DE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4E460-9F1F-4756-B557-7D49126172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B2DBE-DA8F-4056-9298-3332B162A7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1995D-1822-4230-B5F6-BE5151F7C9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58C19-386B-4FA5-B819-4D3EABC196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508D6-6260-46A5-ACC0-95E5E22B39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89E92-A999-4140-9BBF-0DD6F20AB1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B6398-EA3C-4734-84F0-3DF55AF5456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C3DC3-AE85-4AF7-8A30-75322A82A07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26B82-ECF0-49C7-972E-1AF2C16B03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21D76-D7D0-46E7-B119-CB84E5AFF5B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2BA0F-C837-4941-8FA6-8829C1A204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3B84B-6582-481C-97C4-7BC9122354D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8D4F1-347F-410C-B251-4A0DE16E55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0CE43-A0A0-461C-9273-FE146EFF10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F4394-BB98-4882-A278-2D445DEE9B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908D9-A1E4-4DCD-83BF-A2673F41C99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E2F2A-356D-4FAA-94EB-8BA8530E50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295DE6-C22A-4C0B-A790-DD8022824AF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FDD64-AE26-412A-8513-703B363C9C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857F5F-5478-4AE1-B240-DD130614D7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DCBDE0-F07F-4A99-86CA-23867CC66C8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C1E9C-FD9F-4229-8D62-8BF7D005E4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AE060-6ECD-42F6-B045-AE99EAB7BA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4AD8C-1D0C-451D-BA6B-D733522F02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9EFBF-E8D3-4A79-8F83-7FFEB7681B4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F5D03-2295-4111-BB86-76AA72E0AB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ED191-FA01-41C0-804F-30867400F2E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F41D4-13A0-43FF-8A38-B58214C357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C26B2-BFF0-4F71-9A3B-941209052DF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7DF05-E546-41D5-8F55-EBA66287A0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FFADA-1B07-4B09-AB45-739CCA5243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34BF8-32D9-4827-B41F-D7C4788359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8BE1A-8AFE-4B8C-9313-FD5C661EED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F27E4-A317-43F3-A9F1-955A65C350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03AF4-AB55-4ADF-ABE9-2376C3E55E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76626-3FE4-496F-82C3-EC71C08750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334D2-7BED-47F6-A9D0-7A84726D5DF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AFA90-EE76-4A09-8BAD-91C068AA3F8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AE831-7BDB-4D87-ABB7-4706756A625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DE0B7-E4C0-438A-AD9A-3FB96DA1E9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03345-C66D-407D-B9CD-97E99D320BE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1C492-9D6B-4E2D-8BB6-D923685C400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BEE69-419B-4596-AD77-5CFBA15D32F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1304F-C855-49B5-A342-511727B8FA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E04A6-F03A-4A09-8CD8-287270B4DB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AA868-4D28-4DF3-B359-C7A3ABFD6A2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67F17-4C92-4A31-B5F4-B59DD4C74B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D3016F-107F-4207-B077-32E2CCB76C7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8B05B-B220-45A1-A611-D934AD96C5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7C1BE-8C56-457A-A08E-A2F0A56F2F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4E71E-3D8D-4AAC-9F0E-7E25F563E3D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FE134-BC55-4740-B79B-1AF6F25A41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59631-4C42-47F0-9123-70AB5D3774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A80AB-584B-4E5F-A409-DECEFA6C360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20A63-49D7-43BC-8411-CCD631BD5A9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63770-DBAD-4B97-8942-079D2E1B7F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02D1E-6E88-41EB-B316-846BB20495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949B5-476C-4D27-A00E-D886164E4A9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DD6AF-F9D0-4351-AA7F-8FE05BFFE6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03D6F-6874-406D-A98E-09DE23A6CBE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FA18C-A278-448D-ABAA-C28EBA7DE5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FBC89-1B08-41AD-B51F-E1F41F44F9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C3B5A-DF28-41F6-B8D9-E5D687EA4DF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47F99-3D76-45B4-BD4A-DDAB0D3325B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9B069-6115-4057-B9AB-63FCC18DADD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1FDB5-8C53-43AE-B9B6-A69D77814BB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C36EB-8467-4287-8EB1-B43AD4B6EF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88558-3CC7-4EF6-8768-F6C86C0DAB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AE12B-9185-4368-AFEF-DAD54CD545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60B3E-C8CC-476A-A733-352944DCA6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97C9A-BFAF-45BA-A7D8-09A986121D8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EA2E0-BC8F-4DAB-B156-9B3773A30D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ACC9D-6C9A-49B6-BD17-13629CD55D3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64703-A6AA-4F4C-AB3B-5FDE0DE5C67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3A516-1274-4FF9-80DA-E3B85BC40D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3A57F-0B54-4BB0-94FF-622A1005698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A5F95-C580-4869-9594-2A125CC1338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B101F-FEBE-41CB-A0B9-532CCC2A1F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33F04-7295-497D-A859-ABADB5A43B1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1F8E1-9FCB-45FA-8E52-31BB7159E3D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F7612-5B49-4FA0-850B-E759A384300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31E6C-6EE4-4684-9087-B00FF7E5091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0BA2F-A539-4855-B82A-D39799338ED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BB1E5-A157-48A2-8548-B084EAEE234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F5B97-E87B-4335-B1D9-2CA3628BBCE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10F80-0A19-4B71-82F5-CC5AF4B2D47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9D979-8D44-4ECD-98C9-77ECC414C61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41BFE-DDA7-425A-8732-B3CE05C38BB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09904-8E07-49EF-9B3D-430807D250A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DDFB3-EB4D-4AA2-8840-2E25EC79081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AF03E-AE5E-4393-998A-81FEB452A44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D4533-8167-4DC7-B2C1-837CC7406BA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99790-452B-4D11-A73D-8E6EBB66DEA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3755D-3CEC-4404-8D0C-9C7D2E371C9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C4E66-504E-4B61-A0B4-BBA882F0D31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9CE00-DD94-485B-9498-9F7CB70FBD5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D572F-BB71-481D-B47B-D57536E1863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ED102-FD94-4790-AD8D-B28EC5B1CFF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9E0D7-79FA-463E-AEA2-445DF7C39EA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5F05C-AB8A-4237-9CAD-66E3EA1F671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11FC8-C783-4898-93E1-3420560CD78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6CF7E-1576-4A15-9002-1DB5B96C4EC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A8603-5D47-47BD-A509-A683C5C6F0F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94671-CAA8-4164-AF97-977713667BB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1BC2E-4D39-4ABA-85CB-18EA673440A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D399A-2732-4EF3-A589-BB839B5BC59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0CE2C-AEA6-4FEB-B300-FD06402812F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F0248-F78F-431E-8BDE-8592D9E24D1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2A2C3-230E-4DBC-8C4B-060D17049EE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0713F-3ABD-4C81-BC9F-14F2B8AD15D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3FF38-A7D4-4ECC-9FB5-08BF7BAF5E9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87DA2-411C-47CF-8E86-2CEDC31844A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61238-14F2-4736-A00E-3D9C30A141F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C7FDE-44FD-443D-85A5-6849D921C0D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D3171-BC61-42A0-B4EF-96C518518C8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FC4CA-BA00-4F24-9B2B-FA7D0BF8585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41A29-47C1-45B8-B580-2B8A7B31844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0EE72-882A-4A8F-818B-9DEBDDDFC0C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D5992-A2A4-4342-87EB-DB93E937E5C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5BECF-1953-434B-9D92-6DD813675F3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13D64-77BC-462C-8FF5-941A8C9025F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090C6-D7ED-4052-BF59-D8C8854461E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07453-29CF-44DF-896D-739D9E40D6B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B4FDC-255E-49E3-9152-42F013DE70C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BED18-091E-434B-9824-D1C8FC2F357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D5A9E-52A7-41FA-B433-77E1C057521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8CB8A-E2DD-43FD-B3F4-6A0E358E184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0BF9F-1AD9-41CF-A14D-4D00EA524CF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027F6-D165-474E-B9D5-143232886E4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83BD8-8EE7-4385-9E49-07870719AD8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FA9C7-3724-44C3-9140-5190621369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5ADC8-876B-4368-A9C2-E208A3FCD1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D6040-DB0A-4523-9DC5-9EFC971CB0E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77065-F89D-45BE-B7FC-CCAE90D3344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4CE42-0304-457C-BC60-C7691FABB1E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5ED6A-6711-4799-9396-FACEA1CA5C2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7FEDD-073B-4A54-844D-45AF6924379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FEE59-CF1E-4E4D-A352-231CB3A41B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76A074-7E85-4398-8525-B15D2D4996C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EF531-503E-4F96-A9BC-B370C3CE9F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E74CD-0BA4-4B85-B32B-E727E9782A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E837E-DB55-4784-BDAE-8B611E1F2A3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105283-4555-4AE2-967C-22B78F7067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B8713-55D5-416A-91DD-3087A17D98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9BCD5-FAC6-4E8F-8B31-F1C99088D7C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1D7CA-32A0-4ADD-A529-066F47590A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52F33-07F2-4415-AB26-8FD3A15EDDC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1DC0F-3B60-4270-BC58-37DEDA84B4E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8C0F6-62E8-4245-B863-64A3053656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7A301-5247-4503-BCD8-306EFB6252B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AF9B7-CE61-4CBC-84DF-4F452E5A05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5E533-4C22-421E-AE39-55E541453C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3DBAC-17BF-4AF9-86AD-FC2911C5A43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4E97E-369F-4852-A73D-D3F5D88CF6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BAD9A-0941-499A-AA18-A69C3AF3E9B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96846-15ED-4563-AC30-426D4C9A54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7269F-4E11-4607-8C29-A9183684AE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2C0CE-017D-4544-ABD4-B4EEF4B859B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C50EF-3844-4745-B29B-CFA5832DE1D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16C2A-EACB-461A-AB97-4FB4363962C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0FB42-8EC9-48F3-90BA-6AE6268FC53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F3094-1048-4766-8EF4-F9F3758D44D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BF0CD-6472-4C99-9694-22988D8D8A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5E832-928E-473B-BBAB-E5342F26E3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26620-83E2-4D0B-BB25-B282E551DAE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21EB2-7EDA-4F61-85E5-5FC18CEC8F4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4DFA4-69FD-496B-A0E0-A725DB08A6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254FE-5F96-425F-9228-909D094FC5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717CD-AD19-4FF8-AC99-B702CE2AA7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A3DD9-A72C-4185-9CB1-A9AC7E85D4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B636D-7A21-416D-989A-8B7871A76F6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D1D2D-13FE-4DED-85E4-44D91139A92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24DA6-8E72-43AC-AD2E-C309C6AED6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8D931-3F6C-4098-969E-F883340ACFC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2149D-95F2-491E-8429-9F654A94E8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E7E54-6C89-4251-AE83-33A96B2ECD6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7592D-948D-453F-BD7D-1F7D03DBD11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AC90B-AB2E-4FBC-8E4D-68C38C7471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0FF9C-A5B9-4F57-925C-75F065D8E2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7DCEB-C80D-4CEB-93D9-7355A0B919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BDEFD-1243-408A-875B-6F3AE02C79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53715-D612-4B51-BD47-3B05D36AD8D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CCDD2-F765-43E8-9811-E3E3AC683A2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D3E2E-E2FD-4B8D-95AE-250B903A2EB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1182C-B4E8-49B3-A815-A88FE23BEC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3B3F9-E8B0-4D61-8680-471A868CA75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FD529-2162-4064-903B-D7656CBAA9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71B85C-2551-45D1-8BEC-1E2F45BA19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D1132-5E91-413C-8395-43BEB88C58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E672C-B6BB-4610-A8FA-C347957661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59DFB-5ED4-4266-9A3A-E9559D6B54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BC646-FEE8-4156-ADE6-A1F47EF06C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CFF7F-A402-423E-930B-90C95E8920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5C566-E583-4E02-BBC8-8718589A80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37313-E5EA-4D57-A8FC-78E4DE43D8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DD120-E597-4EB8-B365-8AB9499599C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2D79C-0E39-418E-BBF5-E8028B928FB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BCFEA-AAE4-4FA1-A84F-8AB2B4CC5AF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C11B30-FBEE-4935-8677-301FF401BE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363E8-54E5-4721-8E30-3AE2752E5A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3580B-4DBD-4B12-895D-2B97BE8D0C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A5D7E-19BB-419C-B593-B6F6278B8C5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2C65B-4D04-4C54-A494-757BB514E64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01A4E-D0F9-4C34-AE1E-CF6012A50C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758A1-1BC8-43BC-AB6D-546744AE788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1891D-D7D0-474D-9662-1F09112B4C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078E9-7E58-40A9-88DF-E878364720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F2A90-F356-4B79-BCB6-28C8B567A7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6D1F6-742A-4B6A-A08F-BE9B26D3B97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3FF54-1BA3-4815-8EDC-6D076D24DEE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2EE6F-8915-40A7-A757-6D3F51D15C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0E1F1-1ECA-45BC-A404-5272902327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D5ACA-8766-4FD8-A005-6D8AE3482E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AFCF1-1945-477A-88F3-06E61DD2D32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01D52-D09B-43A6-8A0A-1819683B6DD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8B137-E37E-4503-9EE5-73C6E1AA4F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6589D-5FC4-41B0-B4C6-2BA2D770216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1B967-D67B-4F69-9A37-0DAA2FDD88F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2DBFD-AC18-476C-AE64-B3FCD44C8E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366D6-956D-464D-A28D-8DC1AAB8B3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2D0DC-C574-4FBF-ABE6-3A883943DD2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54B50-332F-4D86-8F39-16888ECC95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B450E-C7D0-4B10-9D50-0EF32ACD7A5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ADB0A-BB2C-4E4D-96B9-3EE4DACD683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BB9D0-5D65-4747-BE93-0404CC12B8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62EEA-CC5B-4566-8D9E-AE2ED09D09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33ECE-E04A-4A62-BDBB-ABF91C1B683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1DF6F-ED35-421C-8130-6B0034352B5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66BC1-8D6C-42C6-A4EB-84B330CAC75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64847-B0E8-488E-B10F-3CF81FB35F0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215CD-D5EE-4760-A628-CEF00169C3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9FB45-F66F-4FDA-AF09-A6975B83615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65C1C-D777-4ACE-A326-C3B7DEF9658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10C11-1268-4BAD-9347-6D875D0C449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CD654-8919-4327-96A4-6870FD4479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733F5-46F8-4C61-97A6-1170C539B0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1E725-5360-49FB-9279-26E96CAC85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78430-7905-4D14-873D-8AF965E5A76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39A8C-EB74-4466-A7EE-BAB621E005C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5CCFF-1973-4963-8912-111E9443B6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90A2E-0012-46D5-97BE-70BEF7F3A3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E4498-C82A-415A-B320-214E3E1F2BF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4AF59-CB38-44A3-8C81-37A854B19C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89456-05BE-4007-8E9E-BC3CAEEFEB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ABF67-653F-4521-8990-25E1DCDE8F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66509-04FE-4FCC-9424-A33548F1D94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36A31-7F09-41D1-ADA3-0FF3708D31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9D581-73B0-4ECD-A489-1B233D03A9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A3AFB-C4E6-4FD2-8447-9FF13E1232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760D8-43C0-49FF-9378-E55685C3EA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5DE41-9DBA-44C0-A0DE-0A5224F37A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4AC0D-30ED-418D-B163-E3F576B932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0E9D3-4054-4455-A95F-A52B46C300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8DB8F-72FC-4B36-AA42-4216197F722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CE518-1B70-4B9F-A564-34DEB2A407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C8FC4-7AA2-47B6-A96D-5A14D7AEBA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DE81C-867E-4FE0-B6FE-2CBF7814398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25EF5-461B-4B18-B1BB-3159D7F538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B5F28-A995-4444-BD41-65CFDEEA80F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ECBD5-FEE1-4119-BF7B-D0C3FBB92D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63E9D-5595-4012-AED8-F6523826E2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33FBE-4BAA-441B-A969-40E01B92F07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8B078-55AB-4E77-B64A-EEFB387BEA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10606-3938-4C12-AAA2-DA88D4DD73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7C5615-55F1-48B7-AF47-6AB2E78B6D4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BA273-065B-4626-9B07-3C19080EA8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6DFEA-ED21-4C75-9448-F55101628D3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4F200-9CBB-4588-B1E2-7A07C175E7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A76AB-F1A2-438E-ACF4-849ABEC63A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A7DA8-471A-4B03-97F7-0395970CCF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B2649-4A3F-405B-90F0-D2BC5DCB86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2CFE2-27C6-44C5-91F4-D7C2194CCF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47A7E-229F-49E2-8B7E-633BAAED9B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F79A6-CBC2-4215-AE84-29E8403A90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7F80B-682C-41D4-B093-83B3B3AA72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F187F-EFC9-43B1-A5B9-1E6D08CF5B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CE142-07E2-408A-AAB1-40C9188682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A95A2C-27D2-4B2C-9492-1CF135638A5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36115-2943-46C6-B61A-B5129B51DB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FA9AE-B3E7-4669-9A22-CC9BFF33E5C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CB9B9-C67B-4174-BCFC-2A7061AE255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21BEF-308B-4D2A-A152-088216A6484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34402-CC12-4C20-B5BE-B393DABC7F6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5B867-6C10-407F-B270-19052AC73E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2A014-8BA7-48BC-AABD-8D40792DB19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1721B-DFEE-4A84-9417-834CA360CD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42385-451D-4ACC-9E55-197C2878CA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ACEF3-7036-451D-A6C9-9933A6F9B3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69005-EB35-490F-B9B1-C83090B273E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DD126-0D20-4CE5-A961-0D9987C88E5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26953-1EBD-493D-A7ED-45F7F5756EC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FFC31-F030-4A9B-A2D3-76D17EF1D5B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48B8B-7F3C-49CA-8691-D95589A674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6D516-FB62-4E0B-B3C9-A934CA32B5F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79796-9F39-47FB-B638-B87D5C5E26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274C1-4782-47AC-991C-4A8799238E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EB16C-9EF1-4E53-8439-8C049699D0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69D10-83EB-4C5F-A864-88F5A7FC88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33E45-B167-4839-934F-53AB9A79B0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77807-3D6B-4C82-9F57-3057AC4F8B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5A50E-3816-4106-8DBC-9FF2FC2E22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AB84E-3014-408F-AF2C-9FC5EC8391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34FF9-69EE-4BDE-BA5F-F575493344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844E2-EF67-4C95-89B2-1E2F74163E0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529E1-E874-4049-8080-0523D255BA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0AEC0-A1E4-42EF-8CC9-A8FFF355873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D51D8-DB6B-4670-984D-3D164BCCA3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B6432-8B78-4E36-A18C-7FE49BF947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A1DE4-17F4-42A4-BF79-2B749FB3FBF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6D3F1-E05D-43E1-92A2-4237E6C979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EF700-3300-4956-A112-50BA4C9DE32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64E43-BCAF-4195-ABDE-31DA85FCEF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76E66-8856-4484-89AE-9C1C426963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1F225-ED30-488B-94A8-1CBFDBD7995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49628-2371-422E-90FC-76D80A4AB7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68165-6456-4792-8B2A-29DD20F4E06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D14D9-ABA3-4E6C-AB43-BD933B74EB9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023D4-76A7-4918-953B-DF752EA0A1B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5469B-3283-4853-B3B9-BB93B53863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8E94B-2EAF-4A0E-94C7-EE2A3450D06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B194E-619D-434C-81A6-785E248E47F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A42E1-6E68-422B-8109-0AF00128516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4182B-384B-4558-89D0-5A9086E596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49DDA-F2F6-4E30-A795-B5C5CB9EA79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6A9C8-3217-46EE-9683-03B3836F990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F866B-7BEC-4A44-83CB-B818365EE9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8F74F-A4EC-4F6D-BA67-E8F51DA5CE9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978B2-D170-4288-B4AF-4BC238E21B1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BFABD-8E5E-421D-8A74-D5D5A8E33C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5F32A-135C-4911-9E22-9C5166B50F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21DE3-10BB-4E67-AF69-6C1F82315D5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A4DE2-B33C-4178-B577-CC185CB53EC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A651F-943E-468D-B1FD-BD22170C08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4A227-A3D6-49F2-96F1-91996B62BD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5B40D-3A3D-4147-8846-33AB1E27CBB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BD74C-FD2D-4F6C-8417-88420BC3B3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3EB8E-102C-4B27-8193-FC51A44EF24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8384F-D818-4411-A957-B079E8F729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25AA4-B8EB-4BD2-AB46-278EB816F6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20676-0A5C-4EEF-BF5E-44842BE022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49843-0468-4172-8A21-657FA6F6A3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525D1-01E7-4F64-A487-ED7A7EA166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9DF66-719B-4084-9031-53F05DBFCA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3D1D5-F42C-42C2-93E6-EAE4D409D4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A4D34-5B82-45DE-8804-AAB89C41BE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C2250-49A0-4DEA-B65A-302F0970AC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35A25-E046-42E9-8046-4556DEE2D0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BEA087-AAA0-4EBF-814A-02265083A4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21EE9-BF7E-4C4E-8068-DCC47C9C93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F40F4-8040-4952-9F84-32E4DC7ECB0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5295D-4C58-47BE-AE34-E5C0B79DA9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A4915-A99A-4271-84DD-B00BD7E198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6D70A-75E0-4691-AD35-735BDA435E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4C957-8C1A-4A3F-8656-8E3F9F85D6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07137-AE9B-484E-924E-5A90B331FF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AB2CC-9CBA-4513-B065-EB15056E0F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89C44-0F54-4F20-8355-44B580F7CD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F65F5-37AD-4D0F-8D5B-23F69E893C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9257E-8316-48B5-BB53-CC2458EC01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745EB-BE29-4F14-9FFA-685788A57A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8A73E-70B6-442F-B665-82A0729885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9FD13-36FE-4A52-89E6-43941480C4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8F8E6-AB4C-4065-BD32-2CA551C854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B711E-3516-4B92-8A18-263BEE4C8F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90A14-1EC7-414F-8A90-01CA6608C9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05008-C07F-4103-A170-2751D842D3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77F35-5B8F-4E02-B3D6-FB9DFA3DA4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6B0CD-EF3A-40F7-9073-D67643FBBD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24F14-F4FD-43D1-8D1E-8FD74A07F5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44622-1CC8-4707-8D85-33B55FD84C8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7DAB0-3EBE-439D-845C-47034EC185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55EBE-5F4A-474D-B74A-F18F23B356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33BB5-9FD0-4A48-AE7E-9337874E5B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D56DC-1F99-42C6-9063-223EE79B49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F3FCA-B200-48E0-9184-92A2077250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75A6A4-A6D8-4E66-9154-E47BDE6124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C819A-CB8F-4153-96FA-49C89319E2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44A37-1B62-41BC-AD3D-FBA497B7AD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8DDE3-5E54-4B1E-8B10-8C83E7B288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9F30F-8868-4A56-9610-013B43F6E9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93557-67F5-4B68-BCB4-4C89041AE9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ADE22-96AA-4E5E-94F7-BA1B668721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E12E9-495A-4328-B14B-AF6A3A36BD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8E052-3026-4E1A-BB14-6E00F13BFB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E66BF-D7C0-4750-B07D-BFD52741D9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172D6-ADF4-4C08-8EAF-7998ADA6D6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FED3A-E72E-4A3D-BA1E-C52BE83BA3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F73F7F-86B4-43D3-8ED4-F5B95C21619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A902F-6F5B-49E1-B92A-592721C9D4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B5FDE-B8A3-4D5E-A96B-39ED70BF3D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F8373-9122-448E-B6E6-6F2AA0B58F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62383E-BB9B-431F-A6F6-9A10AA84B1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D4FC8-A0D1-4145-BD7F-EC758A5424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D8EB3-24D7-41F9-9449-C3662CD7C3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7D929-9826-40A5-AEB2-B41A0B0E53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AD512-6036-453F-9247-C099B845BD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8055C-85A7-44E9-A756-8DED5AB103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0ADF8-AD51-4C1A-97CC-EEA2060693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D4408-09E1-4494-AAE5-4029A45D6A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F4DD6-A7FB-4109-A461-5D06B84DE4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D64D6-1F90-43F0-A679-BCA4676B49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04469-7534-47A3-BD2E-D67CDC591F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F0D28-5BA3-4897-81CA-3640A5A6E7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7DC5F-73C2-4F14-8A12-C3D492A3587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B90D6-8753-4DDE-8388-D247EAD4BA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19731-821C-4D26-8804-5702E20470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B7A0D-A23B-4310-9488-177C96C1B0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5AA92-436D-407A-8413-C2924D9A4F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E4F19-7023-4020-8837-93634FDFBE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A9A9E-9B20-4C17-9AEF-D3AFFFC453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14D1A-23DF-47E0-9C49-8E61540E009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8F804-9DDC-4B1F-A266-D50EEABE00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3EBB0-83D2-41C0-971A-507562C602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76041-AB7B-4467-9049-668FDF69C8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2F161-3788-43AD-8318-2C75F31AAD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CB28B-9F77-46A1-8DB7-224ACE0FC1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0B2FA-35D6-44C3-B731-04BF4C5921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8EABD-D957-4E18-B628-AF612A61DE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15FEA-AE73-4C66-B270-81350B3D8C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FF52C-C5C9-4EF7-8E90-C5D9CADCFD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A8F3E-2D7D-4BAA-B71A-24B6490B5F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E225B-3757-4B54-A9EC-C795516E8D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5089D-486A-4E56-93C9-436F43A26C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CD51B-9C67-4DC6-B104-6BEE99311F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75323-A41E-41DD-9485-80B3DF94D3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30A10-EEE7-4956-8E73-5189A4D149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8AAB7-39DD-4BD8-B669-8F786C26FF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2AC36-597D-412C-9ED4-865FABED54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820C1-2553-4C78-8A15-4CACD08132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8E30E-698E-460F-967C-E91FAAFF3F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3E50D-F51A-4A6E-BF98-6D4A0C15C1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4F30F-4A45-4658-8361-7ED168A63F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3A221-8A51-487A-AF58-D2DB7751B0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D663C-FDB5-4538-99BC-BBAEDA3043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EE992-4F77-46FA-BC74-E932D0E16C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B4A4A-14D3-444E-B622-0D1EECBB1C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D1190-75EE-415E-AE4C-C7A72C27BE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AF388-88DE-470B-BA8F-5ECABF71DE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28459-19D8-441C-BE1E-F9FFDB64B1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6C17F-B450-4AB6-8293-763951BC5E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4622C-3E5B-4F88-8D56-4E81359464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D5726-28AE-48B7-857B-394B996720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2847E-9644-48F6-B355-F0B91AF7AC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E8C21-F38D-465C-9A8E-5B266B37BE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75998-E484-452B-8AF7-54C17230BD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EC0B0-26E1-4FEF-A457-B88F9AA8F7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B7195-6582-4806-B2CA-02A5B53391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92137-CC13-47AA-83E7-72F39C0BD9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70C6C-83A7-49B1-8B15-CA994C1F55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C5CFC-C3B9-4207-AD8F-CEB8D7BF06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86C20-2CE0-4BFE-8ED0-1DF274FE13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1B851-8A10-4775-A6BE-336AE748EE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B0886-B41B-4A21-9133-B5B8520188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9F4DF-F0F1-41D9-96B7-B00AF56AB8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4FC23-E0A5-4A1A-820B-4E8E5A2A4C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324A7-5ABB-4AA8-83DE-7C8DC5CE45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E9C43-7ADD-4B74-9DA0-846DE005EA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C79E1-419C-4C50-898E-446691E3B6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22810-27D7-4464-9680-A6EC447BAC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0A7D4-8C48-41A0-BF31-756E694CC9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E3553-3DF1-46F3-8243-84797EC3C8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38D98-6B59-408A-A466-5EB11E7E82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69C97-CD8D-4D60-9C26-AA4D29969F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8A230-34AB-4CD5-9E76-07EA79A1FA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9FB0A-C22E-49F5-ADE9-03BBEE74D6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930F7-47A1-4C1C-A575-654EF16D59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95EF9-17CD-4C3C-8C3B-1646A25F4A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B99B4-6AAA-405C-9A5D-EB190197AE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EC46D-B858-4C74-9446-1A271461FF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F1700-B24E-4120-8B53-B5F9775C51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B59CF-3ABA-45B7-9350-4D65CDB541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D6FF2-A67F-4869-8A77-957FF2BD09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3A9DA-49CC-435B-B933-D1E416A403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6EB80-F0AF-4E5A-86B9-09F8F48D93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19910-FE20-481D-9035-AA75E7ADAC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EF0BE-49FF-43E8-A079-2DE2ADEB93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9A1DB-0A7A-4007-A1FC-C9B675E7200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59BBE-BBF6-4DE8-B9CD-99E1C05005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75910-66A2-43B4-A136-08DC17B5CB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EAFC8-F5C4-4A85-AFD6-C168F15004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400B8-DB0C-4DA0-B11B-B047B6223E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A2AD3-5D44-4491-8888-E29AAFC452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E4778-27A7-4DA5-8C0B-1D86E5D712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81C51-B600-4295-A97C-7BC5BF9A6C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C5FD6-1F13-4CAE-863B-F0122D5003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AF09B-26B4-43EA-AAC7-22FCBC465B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5C8F6-5AF2-4BED-896F-B59ECE589A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A522F-382B-47E2-B36C-62B6E90D63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571BE-985F-4B3C-A628-E0B9D018B9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2558E-7381-4A76-ACD9-28D11B6122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C9A48-E716-4EA0-99AD-22720EFA98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3C79F-7B50-4AE2-B047-7A004DC6F3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865CC-624D-4CAF-9DC3-B08C4F74A8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AB9A0-5381-4108-A98D-AB236FC19C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09F7C-D64B-4F5F-95D1-D8DD0F65CF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F7361-B4A6-482E-9F63-45218DEC0E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BC456-AD77-4276-935F-D4F07CC920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ACD8A-28C2-4545-8336-2296DA42E8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B4542-3342-4177-A8AF-DCFD6F5C53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FAE25-BE4B-4203-8AFB-196B8009BB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B896E-47E9-4F2F-910C-F56401B106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139F8-9527-464D-B4CC-29051CA110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A17B7-5D88-4469-931F-E68925C111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770EA-44EB-4790-8B8C-1BCD976D4A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17E0D-1D53-4904-A439-1C96AD00B5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14C24-946F-4E80-AD4A-630E22C15B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07000-D359-4C4A-A995-0647130996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111ED-7C81-42CD-AF3C-94EEDECD20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E6F55-D198-4FA2-A5EA-052EC384EC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E24AF-6A50-4A08-A150-27DE15A4C6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C9CCE-C1DB-4E20-9B8A-727DF4431F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6D643-91F5-4BBF-BD50-4B8B2056055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F697D-186F-4B5A-97CA-0A9790C286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E8677-C5E5-4DDE-BCC1-67C0C411FE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E364D-8B07-4228-8B31-6ADBA24108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E5448-479E-4B7B-8D10-5A6E5F1CD0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CCCCD-1312-453D-9389-E72378128C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74874-7BD8-4D16-A04D-801185E6A6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544CA-88EB-44ED-8607-71244FF7135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034D3-BA9F-4ECE-BBB5-8E7E4562BF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9E1D1-8F64-400A-B720-C8CDD54697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961C8-D8F1-4EE3-9090-1E8C0343B6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779C6-F81D-470A-B7EF-673546D76A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FC744-BF73-461A-9D66-2263984955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3C040-62C4-42CD-BE4A-89A9576B5B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CB3C2-3A10-4445-812F-7733B44588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FA230-B0C5-49FB-B96D-C87AAEE90E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29A68-D209-409D-887A-520CD09383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F6F55-57DB-4207-BE24-6F3978672D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8E8E9-A90A-4522-84E3-0C12B6ABF0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09338-015E-45F7-B370-7CE390C90F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6104F-6627-42DA-85AB-EA3BABDA2A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2BE46-27F4-4B92-AC91-0E42EF60E9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5EB31-D6F6-4704-882B-681658BC82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EE0EA-6B1B-4F61-A507-930A315393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2E93C-CFCB-47BC-B788-F29F470D56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8BE627-9E44-4E73-9696-FFE941A51A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18D8D-716D-48CB-9BD8-E5E22BD931B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ED03B-F8CA-49C3-9823-028723C18FE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33B5E-889E-4C13-857B-425FA9DB3B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3147A-9D01-40D5-9F58-7979777335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E4FCD-C471-41CE-84AD-A219945345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A81DA-968F-434E-99B5-63DBE7F684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22359-9CE0-49FF-8C5C-07E61A1824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773FE-4776-4C6C-80F1-04637F0609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91BCD-9E0B-4D15-AEF3-9515969C8F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6C222-B48C-4E04-A0E7-5B63E8AD98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1EC31-921E-498C-9877-5D22F88DCB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A3743-7F08-45CF-9F78-BA86FF6EDF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8AFCB-6AA3-480A-A69B-E2A5CC4D6D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4815F-6954-4E81-B382-83CE6B4EE4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CA868-982F-4FC2-B5C6-1BD8B59184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EF86D-24F3-4E08-868E-E5340BF0D6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BD428-5602-4DB5-B840-8ACBABEB7A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0558C-37BE-4EE8-B951-FA6D6F27A5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4E2EE-BF33-4B02-83CD-146D241219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14009-F380-4593-A4A6-7DAC8766A1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C3E8D-EFA9-4382-8E51-273FDC927E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C475E-9D6E-4930-BCBE-80E90861F2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F3D77-28AB-4C45-98FE-944D481221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5797E-98A4-4B33-AB2E-86DFFF988B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84D36-20BF-4314-AD96-BDF0581CA35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BC445-58E0-47B3-A37D-D44F34D5E2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F57B6-E8BB-43C9-8338-C3C80FAB36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1EE3A-5F20-4EAE-9771-879AA61FA4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F1FFC-41B1-4E99-AB85-83647E95CD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F02E2-4091-4175-AC72-08E53B677F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5C67B-080F-42A6-B6C3-5DC06B0BA8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2A489-6906-4165-A0B2-E27A0449D9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1E7A1-1C0D-4EEA-BBA2-5D9182C662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5D6D4-0A6D-40A5-9457-9EA8D01D50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A7C7E-BBB2-4ED6-BA5B-23C1D914C7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3F3A4-962A-43B9-AB96-9CEDFB8C5F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A65F7-BB8B-43C4-88B8-0C64B31B4B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49351-301B-4FB6-95AC-F494A523A7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2AF28-F087-4B07-B30F-ABDA27B4B4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8F2DB-20AA-4C74-82BC-2A3AE4E670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9D6F3-8640-4212-A9D9-0E59228E10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736AE-0A71-41A8-9509-02AAAD6E93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8375D-CE0B-448F-A327-66F4C039A2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6E464-1422-4837-9376-4FA7CA4988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B1C9C-7188-40E3-BA1C-1037CCB0BB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A6B91-15EE-445D-BFA0-378BB0C2D0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C1686-B850-4CA9-86F1-F8F4223B0C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7C584-969E-49DF-A59E-753EDCA0F2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1F1F3-FEE3-4B39-8F04-268031BF7D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3B06AE-F7D6-487B-BBB6-ABE6340987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4C4F1-980F-434C-B92A-0B3654060C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4234B-D25E-4E04-8F9C-21ACF10127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4F6A04-6D78-46EA-89B3-A1856C142D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92C09-A483-46AD-8CB6-7CBE3842F0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DA84E-B183-47AE-8D96-E70E32B271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0802B-155A-404A-90BA-D6C7D97B08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F9DDE-1CB1-4FA3-B729-8D34C2E8C6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84A1EA-D4AF-416E-964C-19FF507F0E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1C9AA-7ADA-40EB-A6B6-32AB4D5AE7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797AE-2AF9-4E71-8293-A1076915FF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33222-01AC-4BF6-BC29-64D2A6ADFF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05DEB-5B00-4DB6-A8A6-C55D352D49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D4DEE-605D-45AA-BD50-671D424A71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C6638-42FD-4B5B-B728-33FF0EB258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E1986-64D0-4672-A278-7AF366DA98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7DE8F-B991-40E7-B2F8-6A3F9F68AD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C4B21-67EC-4F24-A509-F57499BBA6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EAC51-A108-4D57-8F54-CB2E8122EF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20C1A-63E6-4FFB-83E0-7D8D0B978D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8046C-E26E-4EB1-958D-8E9F0BEB99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4421A-5134-42BC-86AB-2F3C25D1EE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96A06-B021-401F-9EF3-2559FA9EFF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5D0B9-2AB1-4528-AAFC-A607F97F84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41043-865B-403E-BF17-246C38CC2E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2733F-F474-418D-AC01-DC6707F423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FAA33-448A-4540-8684-A342C5F2519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9D851-99E5-4F8C-B144-2406773B25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461E5-753E-4B4A-8485-780E7B5E74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12F50-6760-41D3-B2E7-A65787C254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E689E-C98B-4742-87D5-9623142198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7BF9B8-925F-4F0E-BA73-EC6D4F94B3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8C2A7-2714-4B44-BF00-5FA9A5692A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DC058-796D-4AA3-8750-2055AAF60F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442E7-D217-4446-94EE-74DD06009F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0A9D8-E1E6-442C-B640-492E2A6596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ECAC1-0DE6-41F8-BCCB-742F6F68C0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D1CA3-4ED3-44EE-AF0B-4681FEE620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1E2FC-CC5D-4C07-8709-EB35DC0626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5E334-E6C9-4F16-8694-E089146918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D3046-F2FC-4932-862B-E636134674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0EA90E-DD80-4CA7-AB32-0B824E2CBD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5AA99-145D-4506-9C30-874D76CD2C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53507-AAFF-4496-A001-03D8F2988D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38498-A0B5-4B6A-9412-E8C4109B3D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92AAA-2377-4C51-91EA-8F14C3E9E3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9DE3E-62E9-47B2-A31E-34511CFAF8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BF149-0F68-4785-867B-BE96176EBA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D726D-4349-4209-AFF3-CB3A0E1AD6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8F777-F143-4E96-9301-0E5A934299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B8EF6-929D-400B-86AF-5DCB71A949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98EE8-A022-4DC9-A5CA-0FFEAE32B7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1B82E-BF40-4837-816B-B88CEAED88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DEB4B-C7A7-4B26-9369-31491D989B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7AE8F-1344-48DC-9F58-98E28AABFC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55F89-4C88-44CD-9F3C-9338DADB1B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85A70-994E-4F0D-B97F-A224C6001A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5DDB8-C186-4B2C-B583-03C8D8209B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34480-390F-4594-9EBA-32E211C7E6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9DFDB-6B06-4B26-9121-BD4E80FBB0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290D23-FB0E-4CA5-9FE4-D57BD55EE8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68FE4-60A3-4F7E-B170-B4D5B9C411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51B0F-FD58-4C2F-AB1F-BCF6684516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D3E31-C29E-4B20-A755-C49797E69E0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4FEBE-8A5A-42F9-A5CF-186D2E04BD0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EF45D-7C5F-44F2-A374-2B17F89F0F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84C4D-9D6D-48E3-8771-FDB2B5599A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BF92B-1484-4972-A437-F74A7C5C29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3453B-CBA0-4913-BD74-31266B67F6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EC1FC-B3E4-4B16-AD99-1AFD6C7792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FA1B8-8059-4E9F-B704-F9A3C85372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A8A76-2C82-40B9-B743-3EC6A19DF6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A8211-4DEB-489E-B89C-AEB606B5F8E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CCB08-98C8-4F2D-B768-8314317FDE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EE404-EC3C-48E8-A62E-B2C0949376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1AA58-9F83-4C55-A1B5-0F891AF9DA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008B1-CAE3-4A6C-9A9D-EA0982ABFC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4406B-24B5-4189-B793-DCE7664D75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47FBA-DAEB-4974-B1B1-E778DE2B66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DCDB6-24D8-4E9A-9A36-8B20BA9FBD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BB0CE-DAB7-431B-9864-F87279E206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BDEEDB-429F-4100-89D3-B826A0DCA1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6615D-B30F-4AAB-9F79-2BEF6BDDF4E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49C60-D48A-454C-8762-40242FB633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A3728-D433-43DD-BD48-4F2DE4E6EB2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152CE-F63D-4639-BD54-A6978734E9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00E9D-0074-4040-8E76-6E46D1F575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0E0D0-A67A-4215-BDEE-24EFFC10EB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FF948-CFD8-4303-99FC-9F2ECD239E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C7C06-390E-444A-906E-2EAE899D09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87658-3960-4931-AA2C-2919F74BF1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5B309-B2DE-4E96-8102-87567CF2D8B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F0458-674E-4DB2-B434-204DA2E9B7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65EEC-2B26-441B-97E9-622762630C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D2065-9F7D-4C38-92BE-26581D6945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B1B2C-76BE-4AB4-8774-CA5A611FD4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925DCC-B3FF-4DCB-A4E4-E2E6B8B71A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BFEC5-70A6-427E-AE2A-66FF081062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50455-7941-4B6F-9588-C8750AF409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B462F-C57B-4B06-A6F1-6CBAAC7B44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0F208-0D50-4AE9-93BA-3EC434FB86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EE698-3484-4EF6-9F0F-5714394395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392BA-E42B-4087-9587-01AB69B4FB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D0B31-71D6-46DD-8A2A-53A461AEFC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A5DB0-93BA-424D-9EE1-BB71293BC7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FDF0F-1045-4177-B36A-467110A9D7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9873B-2880-44DF-A8D9-F26E2A17E7A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F4948-7049-4151-A80C-260A4D22D4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1592D-32DB-4E40-AA4F-ABA4AFA730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F2278-E595-4F0E-BFD9-CCE8485894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9516A-B61A-4EBF-B4FF-4B7888D16D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5A9A1-48C4-452E-96D0-E868C046B7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3692A-2CF6-4190-A196-69B44416F3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1FEAE-B0F8-4EF2-84D0-035D58DC6E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8701A-4B04-4642-A6B9-A363659BD1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2324B-CB67-4241-8F7F-F5EA6B3224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113C7-231D-4A43-964A-D4FC7F142C1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D67B0-F23E-4244-964B-1CEDE1B72C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8C4C8-B724-4331-AC74-B43A204701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F9300-784F-4661-814D-FB52370B92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D1A4D6-0600-4F8E-83B6-4763C0805F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EB6C7-DC72-4850-8A8A-E5E675046D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BA21F-0863-4DEA-AEE9-AC2DE37EB5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6A49D-8E9C-4536-82AC-46E38687B9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16203-4725-4EDA-9860-681396FBED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08446-11A6-4C49-89A0-3FC1BB8BE5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B32A40-7987-410C-BC62-48DD91FB99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DA3C7-E7D7-413B-8DC3-9C27DE963E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08448-CE34-42B8-A936-3627A37BE3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315B0-059C-4EF1-A406-F8FE28DF17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63898-DD3E-40CD-A5D7-606540C1A6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B7CEF-B3EE-415E-A704-7D7E39C28D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BB387-D2E2-4EE7-8318-30B49D7A7F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83BA4-A14D-44B0-A971-D06BA1FC0A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5D23A-AFC2-4E48-8F0F-306DB5C900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64BAE-4CFF-4A00-8EEA-C6AB84B593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F171C-0C77-4BFA-80A6-4915024ADC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EB252-028D-4645-9EF5-7E8E8C2952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F2544-9DB3-4DC4-9E2A-9917243DA8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C1333-EDF8-4F33-8AE0-9F6F7314F8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59DFA-689F-4AEC-8963-59661CE7EE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F8CA8-C54F-44D3-B808-F5CF37C475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316E7-3EAC-40CC-B42C-947ADFCC71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D5164-E350-4834-AC49-1A855E5C82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75B01-F6A9-4F16-80AF-1D46BEAB8B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D8D24-C1A7-4860-BB68-62CD3BC229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CE0FC-5F0C-48C8-A8CE-8E3F0EF5E80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AF4DA-70ED-41B1-8C1C-073BEA9E9D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0CB16-8121-4E00-B899-F8DDDB8D1A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BDFA2-BDD0-4C5A-B426-6D65AD47F0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B47D5-B77E-465A-AB30-124F2457C00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A0150-3A62-4A62-BE29-F59BAE73A8C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48D8E-85F9-4E77-BCEB-F11E5589E7C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C52ED-E06E-4DDB-A30B-5B20D21096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D76BF-92BA-44E1-92A6-5CCDF06647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4D581-8E2D-4FDA-9E42-5A2D2AE415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54A42C-1EAC-49B7-85AB-55E51533FA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1668F-C212-49B8-B186-8F86A827051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45E074-07B5-49E5-AA35-56B9646AA8F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A54267-D40F-45B4-BFC2-F51B236782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7B086-8AB3-4127-A5CA-EDA24EC765E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C4C26-005B-4402-96D3-3E64C409E3F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17A79-9C51-4966-A9A8-483842E7A2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BC239-A99E-4C6A-BAD3-38B0226685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77C77-7B33-4F83-BE87-964D95C0FD0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53905-8075-4D6D-B1AD-AF2BE16166C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35EC9-FC61-44B8-B06A-62ECF144BED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8A487-0996-4DC2-857B-FF487E6C5B2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0F257-5AA8-4FD2-B0F0-D74A952CEA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CFBDC-57BA-49D8-B2DA-75BFBEA724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A62DB-363A-4251-865E-B7C3AF16DC8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DD332-4A04-4FEF-8B00-12D0A856C6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D0E24-1DE7-4433-9321-AA1DF8D7A3D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ECD34-DA92-4939-A1CE-3135CAD9AE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70F2B-FF59-4423-B401-D1F8FDB736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9BFB6-0A61-4852-8471-89B3A063F1C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4D04C-C36C-4B7F-A665-6CDC472E4A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6004D-6280-4284-8B2C-B5528E1CCAB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64B6A-E7EC-440E-A32D-AF20662D13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A5809-AC9F-4C28-B728-FB6494E204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5CE71-C184-417C-9775-48662AF3599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023CE-2D3D-49F2-B2B2-6237788155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EC237-BA57-4004-AC85-3EA9CA788E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228F7-3F2C-4EC0-BD80-75742936A19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D3857-BBFB-40E8-A50C-90A4E86A4F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9E3F4-7DC7-4D8E-8FD2-DE27A61051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2BE8A-1BAE-4B5F-A769-2377AF763C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7E90C-5DDA-4049-8166-B4080E802D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ABAC3-54A1-48C3-A538-77ABB87DAB1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DF76C-549F-4716-8656-519B90EF4E7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FB12A-20AA-44FB-94BB-88C45D05325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B8C071-CA72-437A-8A36-BD57ED91C28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5E711-9771-48C6-9046-C4B788B801E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71E20-AF51-4199-AAF6-53237FD8751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8CEE8-0CC8-49F8-9EDE-1EA186E54D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0F5A8-30CF-4475-BB45-52A66F82A0B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0E3EB-C854-4777-8905-4902BC00BB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A00C5-0728-4E0F-93A9-5823D5461F4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E57F0-A91B-4730-B3C1-6A58BB9A385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A4412-2DD7-4B7A-A609-151C6D02E4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22BEA-07A5-447A-BB1F-C41D04D0D7F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1B5C3-E633-4978-B93A-80C203FF1D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59FC3-4A9E-446D-BB50-92EBBF7199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9EAA1-6ECA-41E0-9B5D-6CD95545C0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21AA9-8EF2-4CDC-889D-AF9AF6608E5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FD743-167B-4E4B-BA97-E77D76BAE9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B6B59-CD90-4B19-B0C7-1B2A4EAA0E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3E37D-3033-4840-8433-A552F173A39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DDBC7-CA81-4014-82EC-E5C39813BA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FB33E-5F95-4451-AA6F-0973C9D8D42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E1CFA-1CFB-4727-9853-B7E4B362E50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8878D-FD0E-4B6B-8DC8-242BA7DDF5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8FAF0-EDD1-4F27-B613-800D3F8B84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7FF0B-476E-4546-8EF7-50B6ED7E6D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A4210-D195-4639-9470-690B54B9BF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A36D8-184F-471D-84B4-61F38F9131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EFB39-1F19-4F81-9CDC-50C114EA892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915755-747F-4598-BD4B-0D02481424B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EA25D-D812-4915-B8F6-822D3BE0AD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6FDCC-3337-45F2-B2EE-3F7CF8BC935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5FCA0-7C8E-4A24-B166-57597BF853C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192E6-5B66-4D05-90B9-677DF419D1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4E15B-9922-4782-B68A-FA0A5A18404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A8BF5-32D6-490E-A808-8189036CFB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A8086-AC03-4E5B-8566-76A8DAA928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80DE1-7268-4548-AD50-EEA03651DB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EFD0C-44FD-4189-84B0-73020097B50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677D6-F064-47FE-9F42-18FCAF230C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43A15-B5C6-40B1-804F-08EF3D40515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C0641-CCBC-4A10-80E3-EC44C0B71D1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A407E-618A-425E-966A-003DCEB72C4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DE0EB-DEA9-402A-B07C-B1A7C7D7F4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21120-BD4D-478C-B7E4-2BBE799F00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0ECB5C-E6A0-4764-B411-E8B42BA139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6E04F-A5CC-48A1-988D-D22E14C3C7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3FAB2-248E-400F-BB74-974B08867E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B02A6-EF1F-4669-9B4F-1D78C3F026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72E6A-C15B-4F64-932A-56173567908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FFD46-9AB2-49C0-B973-F4F9EED9895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CC4C7-03D8-4475-8B4D-C1E8D57C62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46017-C572-4218-BAE2-C1E11939E62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A335C-9B99-4962-8950-7FAB958AD08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A4C96-19AF-48B9-9A7C-FEDCCB6132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AE050-44F9-43C5-B543-36B07DFD5BC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4910D-B819-4202-A42E-B2FAE84FDC0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B81C5-F787-4BB4-B278-7884F3A3A05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15F36-5814-40B0-96DD-DF19E6CB6F8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C4EBD-2E3B-4588-AF27-8BB6B5BFB33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5279B-1003-4D59-BBD0-F50B32674F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7E72F-68FB-4823-BC9D-20856F394F8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B8703-8F28-4888-A631-0B963DFB245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EC327-B8BD-4010-88B1-8673C60406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FACED-FFA7-479E-8FBA-15AD879953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332FE-5CB4-4983-93B1-D11835670DF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E3174-6105-4634-A6B1-27B5551FDFA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0F0BAD-FCF0-4437-9670-319D7FB5557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55411-912D-433C-8CB5-14F7B02633E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373CE-A14E-47E5-9238-BA7473A8258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40D6D-BD53-4953-BA8F-4844B9ADD30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E3D66-5E10-4EBF-BFAE-FC55B5B9904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C5475-BD13-4283-80A3-9BB47BD172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87A2D-2CA5-4CC6-93CC-878E5257D4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25D94-3F1B-45AE-84B9-5B7062BBB07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38B19-BA51-4DFC-8251-86E075D97F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E6B9F-013A-4BCB-9DBA-AFBCAF3C5D8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13833-6CA1-4C7E-9F5C-5BD775F6D05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EA603-73E9-470C-B007-340D7BC322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E9B6B-ADCD-46B8-AF42-543859F5B38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85DC7-4084-4E60-8818-A7F987ED7C9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D413C-BBA6-4BDA-A1FE-463A85D751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22E19-DEFC-46B2-9B37-9229071B5B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A8FAB-38A2-47A0-940B-4BEB24C31C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C00AD-F679-4439-940B-DB6C19CBF83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C084E-A6E7-485C-83BC-BEC2D004DC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1E193-2566-411A-857B-DF9A5FFFC8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04E4F-896A-44A2-BFD0-B1D449A303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AB64B-5E9E-4455-8D2A-CF2B15E26BE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D64DB-A333-4243-97E1-F62874F500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ED90F-4D55-41A6-A7F2-A0B0B4A8D9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56DDD-E002-4C2B-8436-78518F1BDD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7430B-6CC5-44E7-8738-2FA3C38CAB1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EBF7C-E411-499D-B8BC-194FCEFA72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E0972-AEAF-496A-A238-E2A5AEB07D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D44E4-2822-41D8-A76A-6988CFAE4B4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F0525-185B-4CD4-A60F-E5504EB5DEB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BAC31-3856-429A-9470-2DD270C585C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B86DA-8696-4F90-906D-553444E951C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FA204-8454-49AC-A487-74A83D1A35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D7AAC-4C27-4288-89D3-4ECBB9EEDF5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C4E1E-34BD-49D5-A988-1630009CB41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73C83-0181-4903-BAEB-3E3251070A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916E7-2D50-4CF6-A23D-112052B59F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2188D-A2B9-4C31-84FD-C1A40CF89E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7AAC4-96A9-4092-B54C-E953BB3EFDA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D95BE-98E7-4190-8A08-82D75C3F055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83788-C417-461C-ABE9-F25587F4FF2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4A8C3-A50F-45BD-A214-6B6E4C2127F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5031C-70C6-4911-98E6-725E17D083C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5B597-5EE1-4D59-BCFF-C868F652343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156C4-1ED7-4AC6-9AF4-5408825B186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53D3C-09CE-4B93-8CED-D12B1C8939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979C9-9DDD-40FD-ADC1-22EAE9136E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C1119-4292-4DB2-A698-7E4C15D5192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36452-E30B-4DAF-A9B9-6EA93C78313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D53B1-5BF3-4089-9ECC-D4B509889E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5937F-ECC7-403C-8AA2-7FD5BE2A819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116EB-EA5F-4E41-B4E2-C70FF822FA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5ADFE-7181-40F2-A1A7-51BD8E3DA4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CA8C0-B6D7-4DA6-806B-2E2336F5223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9CF87-F83B-4966-8953-7271DAB763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578E7-3BB1-4EAB-8E3E-F3668330BE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7902D-90EE-4C0B-BE46-3D379636F5D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02B6D-A420-44AB-B1DD-D1FF598E2F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2FA29-6D78-4F71-81D9-D02A796AE1D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BFE4E-C4DB-4594-91CA-C8CA5AA21C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93D12-1BD1-4284-B2E6-1A1F9BCD55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7217B-6F85-4960-9FEC-004CBA83BE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BF438-2D3B-4DC6-80C6-F8AE78530C1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6AAC1-E51B-40DC-B19F-AEEF6E51F9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12A53-98C4-4937-89B5-7D8073BE263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8753B5-D115-49A2-8349-8B603F16C2A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F107F-C67C-4843-A8D6-93BF408C1C6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5DF17-185D-475D-A33F-88D2F82C3B7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242B6-FFEE-44C5-875B-2A479CB2901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47B28-F9A6-45CE-B5A6-87304ED153D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43DFA-6CC4-4329-8CDF-E5D4A312EE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8357B-3A16-4043-8841-DF51A3ACA4F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14985-CF81-4259-81ED-0A38C18AC8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2D3506-768C-42E1-B1DA-DB2BB59341E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338E9-6FF2-4CB9-8BD3-01CEAFC1492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7FB02-7AD6-4070-B66B-545EEC40F78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1A603-9DFD-4899-9D29-1D402492F01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2FA74-0474-43D0-A6F6-E8FB09815C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3F6AA-AB89-4642-B46D-07713679EAF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C72E5-3E8C-4EFE-962A-946E1BB299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BDEB7-6153-4976-BFB1-D749FAC554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F5F95-BA1F-4F5B-811C-FE929466D93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9B97B-913B-4411-804A-FC3B8A95D01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EE65E-A58E-4A40-8DDF-45EA64741A1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6C5F7-B592-4310-9109-822794B096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81CB7-95AF-4F6F-8EAF-984DADFF2E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078EB-AA0B-4FAA-B0FA-45B775AD4F7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3537B-E463-4C2E-88CF-DDFCE540786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099FF-BE0C-4566-9CE3-5B13DB984B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B7092-D176-455A-856D-EAEB7BC06A5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4E49E4-02D8-4B8F-8954-05F7B2CD59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BF2483-1400-4F63-BBEF-14281B37B7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CEDF9-AD45-4BBB-B8BC-3365686DAD5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48F18-E43B-479F-98A9-31A8B8F7EA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4D1E5-A499-4B6C-9B80-189D8EF129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84E63-E254-437A-9FCF-A7FEE0D364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70982-1522-4530-856D-78497DA8AE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8F50F-28B9-4966-BF93-CE21938792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D93DC-B0BB-4DC9-82FB-71A8384A49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F95F7-89D2-40CB-9E0D-429B114475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8324E-32FA-4E75-A32C-AFB5F93739E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55B3F-1263-4959-86A2-664EFA3882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96CE6-CBAC-4E4C-B22F-2997E8D1ED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69D08-53B6-4084-A160-4B946F1763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632B6-B643-4185-AE10-85ED73FEA8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04182-D943-4372-9F46-6EF6321C89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13A29-1DE6-4DC4-AF2E-71654EC80F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F40FD-0BA1-438C-897B-ABFF39EC1D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3E527-29E9-421C-9BEB-21CB6AF6AD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B86D3-7C8A-4160-A447-2325D8B451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2F59D-2CB4-43D4-AB34-99B32273FF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ABC68-30EF-4CAD-B192-31EE954C1C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17523-37E1-4941-BA97-2D9E024188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1587E-8CD5-4709-8F7C-826F47894C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1473C-5CD2-469E-A56C-A8340F5679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E055A-DD9B-420B-AAC6-E0DDB2C661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DC3E0-4363-410A-BDD4-9AE29F19D1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F7F49-3D0D-4CA4-91EC-070D19CCEF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3C859-D2B3-4487-85A7-33BF73A97F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1DEC3-B7B5-43C4-A3C5-46BF9A8E2A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1FB22-C3AC-4C32-AA90-D339C99F2B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C1C79-157C-4CAC-BA7B-634D50234E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E95CC-7784-497B-95DE-AE201BA36F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EAB8E-8422-461B-AD76-829D7C6B4A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AF4DB-6482-4E9D-BB20-57094B5B55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D8C85-4CC0-4943-810E-98B59B7080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A12D7-AC31-4418-90C7-A1803B3066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3B185-B7D0-4C41-9971-3B65902244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DDB59-5166-4630-B2D5-F5CFD40A87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B5AC5-50E3-4819-BDEC-5873E0EE2B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C6D75-F453-4E3A-996B-5061C494DA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5B46B-3E27-4B0F-838A-375D53A058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5BA67-839A-4A3D-83CC-1C19C55A57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1519D-DD38-413C-A8F3-129422ED42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69F07-4AFC-48DF-A527-716088CDA5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B2666-5F57-4F13-A871-0BCF9C350C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48D08-4894-4353-ACE5-6F5D27EA28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10DDC-C2CF-4EAE-8299-689D79D0C2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94D7D-6610-472E-AF02-E0AD4F8B3E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E6307-79D3-4BB7-A930-93690D2DEA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F261F-978D-4525-9B37-731045D05E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BEB4F-3121-44FA-ADB1-CD8276827D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48423-C7A0-4667-B2E6-358AA03D18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58C8B-1D8C-436E-9229-E7DAACF690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55155-8C4E-4201-9176-481577B752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9F209-AB20-431E-B6F7-FA61A3BC95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87A05-8EA7-425B-8EC8-16652923F5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EEC6D-8A88-40E7-B38C-5481D2E70D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1785F-2319-432B-AADF-91E5ED6168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7947D-A0E5-4AFC-B6F5-1D2D92EAD8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4B434-22F6-45AE-8290-96B1FD17F7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1E0DE-496C-40E6-BDF0-14BDC4759F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47766-956A-4F7B-B14F-BAA7CCBD78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5B87B-AC16-4ABB-9534-C00F4E2DCA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C9CEF-35F2-4A72-90F6-8B03C5D740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860B0-5061-46A4-96F6-10BD786543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A24D1-225A-45E8-8007-F65E98D417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D3196-B5A4-44C3-A99C-55E51FADE0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054EC-7956-4EE9-8D05-0A9648C741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01038-E044-43B2-939B-176EFE0C37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B32C4-108D-468D-8A65-7E046D6A8A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DDD02-EBCE-4D90-A558-ED92716D34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DD898-3220-4EC9-AF40-E89CE74006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3A02F-29E4-4F8F-97CD-1E7CABCE80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DB51D-0FFF-4F58-8C04-5FC92516A9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06FE6-CD91-4E88-8B23-B691DCD3291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829CDB-EEAF-46EF-93F2-556E92D98A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5A230-7F05-46ED-8EF5-4C9F4D8CF6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02A00-A0DA-4E00-9065-93E0B22A55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F0DDE-19F8-414C-A383-8D4AC94E7F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218FC-2FB8-48D9-B1D2-66815BBCF6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1555A-4A0D-460A-AC63-7A32C1661EE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FCE1B-A9CE-41CC-8ED4-99AAD06E5F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5CE68-4A43-47B4-B1BB-3778CD5F79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93961-CE02-498B-A401-F3A4B6122C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2D7CF-45E4-4230-B391-52FEF74FD7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3DE3B-49AF-4CF3-8EAB-95B571A6AF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AE061-B3C2-4102-B2F7-13929410BD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33527-8F89-4469-A4CE-BF7DECC8F8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A49AB-41E1-41F6-AC38-43554E62E3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C9565-698D-4452-A871-29F2C3C37D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AEB26-26F3-49CC-9AF9-B9E8C7408F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21EAE-A97E-4667-BE29-01DD3DBC85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06739-8CA0-4498-84A2-3660F89384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44D9C-ED85-44BD-A3D2-DE89C7AE9F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5710A-9A5C-4084-A50D-95B5A74374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C5930-A7F1-44C5-A200-7BC4795D3A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F96DC-2643-4C34-81A8-4791F03227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78678-5234-499D-97F4-5422ADB3C7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6E32A-F0FE-45B5-B0A0-3D92B1B734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5C413-DCFD-476B-9F8E-9FFEC4693A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1B9C92-08BE-4107-B9AE-D8ECDE487C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721D5-4ADD-472E-810A-E060C8FF46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0C1DE-6483-4183-B07B-2F62CD2948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5CF7F-CD4B-4EFE-8EEA-8796AB7E98B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8D3F5-F8E2-45DE-A7DB-47256A9D3B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F82E3-E1DB-406E-896D-4AD29E52EF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BF08F-52FB-499C-A234-5FE6438689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60691-EE8F-43BA-9696-49DA663F50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1BA6C-3CDC-4407-B8C6-100C8B9021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74B56-EB13-408C-AE8C-F96818B196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25138-E7AD-473D-87F3-8176AD7930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E2428-1D61-4E14-9641-BDE89837A9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9EAEC-B172-425D-8513-5A5E91A25B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F4949-B8AF-4799-87E9-2808A725D4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5AB94-D941-4803-BD56-7BD9D01BAA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FF53D-10BE-4021-84BB-AFAE4ABA18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275ED-0ED3-462C-B6C3-6A33547010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5079A-ED3E-4393-B20A-E393C51A4A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36CBE-ACC4-4919-8792-CD0DE734A3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D4BB3-7D90-43EC-AF69-3611D92707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49BAF-C049-4DA4-9DA2-3AAA6B7F42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921F5-520D-4EEE-8A4E-299DD8F87D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89F7B-84A9-4F90-9D56-D822AD0B9A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8C27E-95A2-4621-9C7F-42A6A396DE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6BF71-DB73-4343-A442-3DF8978BA3D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B6B12-21C3-4422-90ED-741CF6EE4E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CB8C1-7732-4A9C-9B18-C20EFE9D55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848A3-D18F-400D-B28D-462DE06E58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9D36C-6B7A-475D-B21E-0FB4527E41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38427-AA18-44A9-8245-E9A234B561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8F13C-F670-4649-AD29-EE96EE5C0E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A846B-EF4F-4A1F-95B4-29A19943DE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ACF83-512E-4FD5-9740-AB0FCF640B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1937B-D39C-43C7-A78E-87EBE1797D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CE4B3-2513-473B-A6C3-3CD3360F0F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F2881-0283-4D11-B3B5-4E1CC96272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805F3-0C32-4FA8-B6DE-08ADB3DD9E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79FAD-BA0F-4CFA-9DEE-BA45BF1680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3F768-5EA6-4DFA-B391-657BBA8914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AD315-58E9-441E-8350-E9C3BD4C49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D14EE-6507-4FD5-861E-193CB60608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3600E-D12C-4940-AA5D-210E1CFBF9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E9A09-8940-4B61-B1F2-EDE85171AD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597FC-54BC-4F9E-B912-C5F63D60F6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3DBAD-9F93-489A-9AF5-0235299313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BD060-4AD8-455B-BD92-8AD3B600FE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31526-E4AD-4852-8A89-78E966C585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755B8-06F4-4D2E-958D-23EA65184B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6ECF1-E52F-4BCD-B2A5-092A2CF46A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27121-5D03-4A40-A80C-A0066F3B8F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41A2B-4D7C-42C3-A0F0-E579ED41BB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6DD10-5F7A-4599-B255-6BCE1A82E3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903FA-6358-4922-BFE0-E9980D1AFB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1C6B4-8832-44E2-B5D4-CBAA9B86CD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7E67E-F22A-4856-AF62-B16E769BA9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06163-742D-4B13-8A77-AB89FF9899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1AF8AA-3C4A-4153-8E95-1740DA84B0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00235-479E-4FE3-B236-AA647DAEB1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65304-0EDA-4218-AF1C-52C424E65A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B1B35-A382-4A7C-83D2-A780303465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31A93-2E5F-4FDB-91E1-0CCC593410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46EAE-74DA-4ECD-ACA0-7B769D59A5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ABE8D-7C9F-4829-B87B-1C641120CF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979A4-0FDC-4E2A-B8EA-3C6408652F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6D418-E672-4199-9F3F-DE6E9836D3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B72C9-4B04-481B-87EC-304EFB10A6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6D025-34A8-45A0-860A-817534A387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C0783-C14B-42D0-B750-E81DD0C84F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81C08-1C6A-4EE9-8658-F7B32BCA5B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9DCC7-6F01-43DE-9EF0-50AED20DD3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A0DBE-25EE-4287-AA8B-744A569E1B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EEB0C-E776-4B61-A47A-BB706E620C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33597-6FC7-4599-8F07-F87B9A252E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7992C-0C77-4762-8957-68F424F435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23A2A-0C27-47DF-9255-DD3D195F2B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5B3B2-203E-4C01-9D7B-AE162A2C23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60D61-81B2-4DF4-B92D-60E9AF191E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2EDDC-BC05-4165-9A9E-9B28D7557A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04213-FAC9-442A-956C-8936EA23EA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92944-CDD5-4B06-9AA2-59D01D9BB3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1BD95-DC02-4BF8-96F3-5A69D01DE2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9DEE0-9913-402A-9D85-F6563E3B95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81F96-BD0F-486F-A28D-0C6DD48FEA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B7D5B-2D4D-4197-A8AE-FABD644DCA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CFE91-64D9-4E0C-850A-BDCEE74A5D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D60F0-EA97-4D39-A651-55CADA3BBA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1A676-DD05-4291-B7F4-6A52ED5BC9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6051B-AE9F-4C1C-A850-AFC3364961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6A2DE-2E64-464E-8D72-C4B960A0CA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4076B-F061-4BB3-91F4-FFCB81B874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F8EE7-4080-4A92-861A-A726594CFE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382A4-2277-4899-95E1-9D3D0EFD19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125A5D-2DAA-4A88-B590-DD6DD7E9F9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7A81C-97DD-4120-B93F-25FB6F0E21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2798D-91D4-4D62-ADD8-840D01862C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9F681-E13A-43AA-83AB-16B644286C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2C514-16E2-4725-9E1A-8474C64869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F51D4-A3C1-4413-B8EC-8409BD00CB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E089B-47D3-468E-8500-47DCE69697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4E86A-9765-4B9E-9629-263F2023F7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49C84-933E-48D5-BF46-7825C24BF3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14CAB-2B02-4896-96F1-9B52A9DA61C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11BE8-551C-445B-AB23-DF1D0247B40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F0864-F7E6-4C21-A86E-2D779D2C6F4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1D5D6-B792-4E9A-AE80-3F8AED58CF3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B4907-0333-41CF-AB1A-0E5FCD0D63B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AE8DF-2F55-40A6-B919-259B716E78E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DE2F3-2955-4A0A-89E8-41733E2450E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17686-1D62-49C0-89B0-999DA08627D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2122A-C56E-47A1-A041-EBA067B92F2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42E29-2491-4F32-868D-68BED7611FA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64CE7-8FD9-4824-AABA-B38EA573FDA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F7ECB-30E1-440F-90EC-1753DAF1C74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1F697-041D-48F5-A344-3441256CD35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21BBA-838A-4544-AA84-17C09727AE1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D2821-B1A5-4432-A54D-B0D0FA6FB6A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84B19-A479-4062-9AE2-CA0C674C276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909AA-A816-42C9-8E25-BBF6E83D6D6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4258D-4169-4AF7-BA7A-E066C3C2AD2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B303A-0286-4BC4-8BC3-65029AF4863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1CDD91-77E6-4510-A211-40EF8E2D2B9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49A8C-BFDB-4184-A062-92F878EF2AC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BC7C5-454E-4248-B494-7EEEAC13088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D9759-A314-4C41-A9C2-2A7B49C916E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8D16F-862C-4253-855B-5C527243762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64D4D-4FC0-45AD-9526-51C171DF071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CD56D-DD2C-4AD3-B3DB-5E5CE262294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B4CBD-256C-4177-ADD8-106B11D7C83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0983B-0040-4BFB-BE97-0BCDD09B848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9BC29-B588-421E-9C7E-DF2087E4D75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DAF6C-2FC1-422F-A21C-8548CF92AA0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BDA9D-2FF7-4D93-BE79-61E6CD6F909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34B28-C96D-411F-A7D7-1329774EA2D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67A6E-58DB-4EEC-8CCF-B9E53E246D0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36AA6-DF00-4AAC-BB79-17F956AAC9F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AA2FE-2245-41D6-9915-C4504385678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F8AE0-D4D7-4C0C-B0A8-9E2253793F2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985C9-6896-461B-A6A7-7756F1FF09C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66090-3DED-43E6-8DEB-B975DB89F82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82216B-C480-4772-8277-CAF144909CA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94CFF-9163-4034-81FB-C13C8A45C89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DA393-941A-4C7D-938A-C39C2C2E8F7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2FBDF-E6B3-4993-9CB1-627F0EB2D49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527A3-436A-4C34-9EA2-58255D0230F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38B4B-2BCA-468B-8A67-83082616761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CE012-4A34-4FF7-9B32-5B08783B6FD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04CE5-A2C5-454F-8E40-7E20DEF5946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6D913-1020-43FE-91B2-530F69B3E90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91870-2D39-483B-AB44-A7F5B6E26AA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8F906-55BE-4BD9-9585-3628937EF37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D9A705-06BC-4219-A4D5-2C693233FC2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93655-BFA0-4DF3-9BD7-29119EAFEC2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F7BD3-96D2-475F-8D99-2FD3137208B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7CADC-D673-4A67-958D-6D56A029EC2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DB0F2-AF85-4F40-82F9-720A2741D79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759F5-05C6-4269-A497-EA6B173515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DB1DD-1B36-468C-B8D7-310A841E29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E98AB-D84A-4781-878C-F784FFCC68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39AFA-C15B-4513-BDFF-E3F675BCDD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FE944-26D1-41EF-91FA-4278E57A45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EC3F0-1A0C-4787-97F3-D9F240F66B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29FAC-1CE1-45ED-A0CC-C6E6A7CDF4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C62C5-EFDE-40DF-AD04-93D0D928F7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B800B-483A-4828-B570-D98842C013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A4A2B-D172-4D56-9809-06658FACFE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7E39F-B8E1-42C5-9A0B-0397DE5A5F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0FAB3-CD36-4070-8591-006B50C5B3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38834-5729-4478-8815-16BFC7C95E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34AC4-F447-4FA2-B948-9975FA6B24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566CA-C806-40AA-8590-FBD579E92D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91DC0-16CD-4F69-BDFE-541BFE3BEF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23E9C-8ED4-48D0-98C4-1325A9BADD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4F6F7-E3CB-4F0E-BF22-878F630135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3493B-F60F-49B7-823D-DC4BCEDA53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E3726-B833-4FB1-9352-A8ACD096E3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F7187-11E9-4CFC-BDC2-A2525BD01B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E8C62-582A-4721-B5C7-EA31080BC4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00F29-B8AE-4751-9A76-3609017631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CE8AC-EF42-4F78-841C-2AD795FDE3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F3BE2-D221-4EFC-8BA3-812A53B98B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7809D-6DE3-4F8E-8011-2C4197C90FC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6FDE3-30C2-4F7A-9279-2DFDF854B6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A3C33-2CFF-4572-981D-C10819A61C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D98D4-7BF8-4CE8-8AC6-EDB65C5FA5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A5602-FB51-4A9E-B66B-32BA7B4C29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1CF63-74AA-490C-A4CC-532FC51D0B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9FEDB-39DD-410A-90FE-4E06029C93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BFA54-8E61-4685-99C5-75BEBD7C58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12995-1C91-4679-B9E0-0AF5F61F58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6AA7B-24FB-497F-8168-79B22ECC24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FE0B3-4561-4E83-A848-EC1C741051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19012-9F83-4112-9106-3D242FB162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C91C8-3312-4EA2-A6AD-41DAB6C0A4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2EE32-E46F-459B-9FEA-AFA28C563C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026D0-368E-4F0E-9702-7F3ED3FFAE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6F95A-C71B-483E-96E8-77A25C26D3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1FE49-CCD0-4712-8ECA-F1FC8DD301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F6050-FCFB-4BA3-94D3-3FEDD72233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A853D-BCD2-43C7-8ED2-780F35BE6B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01956-20F3-4C4D-B986-C4B59BB488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77638-41F9-4F2E-BB39-1A67BF714D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8C4B4-6BAF-4985-B766-06B4594EAD7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767B4-8E79-4983-A554-C4321D63F8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19885-02B1-48BF-992B-2140C167C3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82DAC-47A5-48AA-89C5-074A534509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08D4E-ABA9-421B-BC48-DF46945493E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C8553-B81A-47E7-992F-71AB19608C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3CF51-A32F-48CA-826E-B28AAE6FE9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FE920-CDAA-49CC-972F-6D5BA167BF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3C13E-5752-4C9D-81A6-6819157C9B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4CFDD-5685-4A17-A0EB-0815554445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522C0-883B-4694-AF6F-2BDEA9A0C4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2CF23-6ABA-4BB1-9A1B-01F5769836A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454077-DD39-4493-A36E-F41EA5A545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169BD-4FD4-4FE7-8DA4-EB15415829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57E87-EBCD-4D60-A003-15FE4AFC6B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EFFE1-9095-4647-9DDF-D99B7C7211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91C2C-140E-4DBF-8F11-ACB7B074B6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DC42E-FB40-4533-A147-3F8E4A6CAA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53A1E-9E68-4939-AF30-33F16CB575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4CFA1-87F6-4970-991B-1C3269EA0A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27689-5192-4F51-B751-4F678ABBBD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4CFD0-4FD9-4B64-9BC9-DE4063B8B9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A9C4D-347A-4D52-A64B-F5B4272332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80C71-4088-4D9C-A9E5-DEEDB97F0A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C0498-E0A3-4611-954F-D4C337DCE1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DDAF9-8CA2-4FA9-BCC1-720297D532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1A2C7-AB35-431E-B88D-AFA5E65F7C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611B6-FE6D-4C79-A6E3-65C29936DE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FC30A-F4C4-4410-A827-F0478F4E29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3D741-5BDF-4EA0-9887-C20B04E3B8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0E8BC-554C-4875-9897-BCE7732E7A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F5A43-0302-4E59-9B6D-FB91FA6D761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506F5-2486-42B1-B9F5-1E9D641651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76E6C-80EC-4FEA-B45B-E0EF13411A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9EA97-123A-4D75-A7CE-CF04A55B6E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434C4-BC75-4290-895E-5841C0CF83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9A0B3-E599-494B-907E-5C7F93DD4B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2B7C0A-3D42-4097-BBB9-8496F609AF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6ECB6-EC29-498B-9C42-5926AA9159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ADC27-BF16-4538-8B0E-FA728B46EE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5C67D-A6DF-47CC-A403-9F7ED61019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4E4EA-5AC1-410E-A5A8-2F77BE657A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0BD0E-ABA7-48B2-9011-32E809FFFA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4F6AD-FA46-423E-A272-D0DBE4434E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56719-5107-461D-8EA9-3B3A7E3C9E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B234D-7D18-4C36-9360-F854D4FAD0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47F8E-86E4-4E02-BBF9-4E29314426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ED5C9-E8A4-4B7B-B209-19794E1A19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A3F25-E053-4371-AD5D-FD7602D1F3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44165-0708-49F5-9D91-65FE8F7BE5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FE316-2157-4203-8692-A8EB262383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B1D5C-D30D-4F39-A98B-F5D5FD357C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418A5-F9C3-4325-9223-8AC80E2E01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6EDA9-BFE7-4FF2-AED3-D26BDE7FC0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C88A5-9F00-492D-B534-E35662562CB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F8F6F-34F9-4003-B0A1-7E7116B664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BDD3D-8705-4482-8B0E-CE9AE3B036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6EDF6-23F3-44CA-9BF5-AB3E58E0F8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AD69F-7784-4A36-B8E7-A7AFBCD5DB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4D0A9-7CD1-4273-BB89-4B612435CCF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D5A4D-4C68-466B-855E-B6B48D90E8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B9259-4781-4327-8A62-31A6E46C3B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A4490-5243-4315-8347-F61D274DEA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25A18-4DA4-4443-B179-9A7E03DB1B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11706-451E-4CB2-9AAC-B189E246DD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4D2AF-E09A-48EA-90A5-E72ACF4ED5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3831A-B1CA-4332-AEAB-6FFC23B384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2CDE5-BCD2-4CDB-8821-37A9BEC6C3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F45D7-0060-42A0-B5B8-550144DED4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57C43-D874-462C-8D6B-09F01E5A2B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8A7A7-F687-4929-BEFD-EF8ED22D94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F6D31-97FD-45B2-905F-EA5302FD40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A7D6A-D4D5-47E2-ACE6-84725FD8C9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A132E-B6DF-48EB-8C48-0554AB398C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F8430-AFD6-40B7-BA59-01600D2B05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4D862-C1CE-4508-BEFC-1699874018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71266-7E75-4CAA-9E28-938D1D954B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6C716-AB91-4C81-B88D-8DE34EBE97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BF09A-CA1F-41A9-B964-44A4057332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1F5E4-7937-438E-ACF9-5E4F094CE6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592BC-FB92-433A-B105-4DC98E8CBD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D0983-40E0-426E-950C-EA93355B00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ED6C5-5A4F-4E33-9C27-55B89CE6F4F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74AE5-DAFE-4FF9-8F18-D2A2EDB4C45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17171-EC71-453E-B936-A721D6B360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A06B5-B64D-40BF-8AAC-F806818DEA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D9572-CFFA-4A60-85D4-0B4D7A672A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40A31-B062-459A-8743-D1CB812F80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A7F31-AF4B-4170-8CEF-211201853D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6D818-EDF0-45EC-A421-FB1B18918E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C831F-DBBE-4225-96BB-CA37580CD6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91427-44C2-4AC1-A583-BCE7C00590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63C7A-44F3-41CA-86FE-E98B53E599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0366E-F967-40E0-87DB-253EBE93D4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671F6-728A-4D8A-B53E-4E477D612D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28A7E-6C5B-4832-BF5D-BBE0054EE6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B593B-9EC0-4DA4-9A85-4C8039CEA1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073E8-2387-4D47-8258-68F1899476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84E13-941F-47F8-87F5-8B77957DC8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2E1B8-4A64-498A-A36F-40E23E263C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A4759-B5B6-4DD5-95F4-F08568CD9B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6FE8F-04D4-427D-94DD-A28E132956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A779D-2F9F-48C8-9608-227ED08F23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BAFDE-3DDD-4230-A50A-6D12ADE0E89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B53EF-93EC-4192-A454-F05709143B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A98CD-90F0-45DE-80D4-B965B06F5D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9685F-FD26-4F5D-AF75-A43598C8C7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F25BF-FDF5-4ED5-9D21-E876434C45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23D57-1C13-4857-BC54-9158032AD1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70640-8BE7-40BE-ACAF-FE3047B6A3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451CA-3B12-4773-A7F3-8DB1159D5E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E8FDF-1EA3-403C-8EF0-FFA278A97D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2942B-46F6-4322-BB42-8B1C623009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3781D-1DD2-498F-83B3-040CF245CE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92EFA-A685-4602-B144-645ECAA69F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BA991-6062-41D5-A14F-8DFFD5D895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08E49-3BB0-4274-A35E-F520D056BB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022D2-ADC3-4979-8B35-0CBAD384FAD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00967-AF1F-4645-A044-0301BBA85F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F1658-1027-48EF-BFA6-15B1B7C569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6F421-8107-486F-9808-8A909A0210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77C7E-8553-4B32-808F-D62779B1F1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12248-E882-4BCA-B7A8-FE1195B2FD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C6182-127D-4E9D-B636-D06CB47A3A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7A44A-FE9A-4B9B-A42E-483785E546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8AE7F-432B-4F8D-9E8E-3C71A2DB75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95D69-1FFF-4127-9178-454EB57212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847ED-D975-44DB-A674-12495F2FF3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77203-ACF0-436A-A209-9FEAA6697F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1871E-CBF6-48E0-AF42-D6B0FDA42D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28D2C-1E7E-41B0-AA73-C9FC724BCE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A4F4A-6145-43EC-B1C4-8D91023C47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504C3-B12F-4504-BC65-35B83951CC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1DA50-D773-41BF-ADEF-EEFB61FCE1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A5163-0B3B-4CBC-9FED-C4C20BF6D6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B9E372-EE3A-4D29-9622-6ED68B739E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C7DDB-B8AA-42B6-A28D-150F0D0D7E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3A006-8833-4C24-A1FE-0458A9B0F8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FD33B-C3D8-4F71-BAE1-552E3AB76F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F6B2A-E3E3-4B10-A7B8-169C31EDC5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78703-E09D-421B-8297-7DFB47F74B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AC04B-369F-4914-BAE4-7430BFEF42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E29C4-7AC6-4114-9B60-A22AE1DE1F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BD1FB-C397-47EF-A8E0-EF9DD6F685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D4150-7146-4F13-9319-67DBAAE4F5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8924F-FEAC-4A3C-8591-795EB6E49B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11D65-819C-468A-8575-AA09D775E0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D9A44-26C7-4B07-91A3-61A057396E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45064-4EE5-43E1-A699-2097A8237F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54D6C-B6AC-40AB-9308-F30A4EF502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4074B-2C9E-4B3B-BD43-78895C22FC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1DDB1-C7F8-4F14-A430-BCDBD998F4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06442-9C2A-479D-80C8-D2A5F15830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2E878-5F01-4557-88F5-62A55C8C4D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F5A55-29EB-4546-B076-0D59329EC5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479BB-CE94-4470-A577-7EE1438C34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35115-1654-4F6F-8668-67887DBAD9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A0050-2EC6-4635-911D-CC330C7A13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F0E396-9805-49A1-9365-D6D01F309E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23147-D42B-45E4-8F4F-B494E7F91A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05D20-5B5A-4E88-B720-CD9694AC30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C7444-C840-4433-BC01-29B3D7ADC0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F0094-C8C2-4EC1-A25D-A0A6BED148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2778D-83AD-44A2-9999-0D71921727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CE7A6-6368-4618-B341-33176DAEB6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9088B-B7C3-4496-A639-703115688F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16E72-147A-4821-A487-D74D3EBC6DC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DEA75-9A62-4EA3-AEDC-DC2F102CDB6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CB7BA-59E3-412E-92A3-73BFB6B658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8EA21-8C6F-476B-B8A7-5B2D3F2339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C655E-E4E9-43E2-9F80-655AFEDFDD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5DAC1-7666-4A72-856B-CF1E98AE83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50D07-62F6-464E-BC51-C098429469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5607A-3B6F-40C0-A097-52920CFD03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E7389-099C-4787-B62D-A83195B7AF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FBCB2-A114-45FC-BFE3-C3AF0F9FBC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5E2AB-AA17-412A-9ABE-707879D1DD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37AD4-AC22-41A4-8C28-6350802E3F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A5028-23EF-4CFD-89D3-6479E1F00D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B0213-66D0-4995-9E80-225CB93EB8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E9081-9F5C-4287-BF6F-D3C29B883F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4F981-E703-4227-9D8B-7B7FF67445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F7214-270A-4E90-BE4C-08E1F5940F2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9E5EF-F043-4033-AF43-30C921ACF8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93B4B-1AF1-41C7-B1D5-93B503517C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36C43-D028-45D2-82BA-C006A16D4A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E8D95-4AAA-4051-95AB-ADE5E793E5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740B0-38BD-45B4-9BF8-2AF1592641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7B3A7-0558-4727-9AEC-E7041D1DF2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3AA90-66EA-47AB-B7D4-795B190172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DEA75-D08B-4D39-9A8B-A0DF286163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79591-0BF9-4C0C-B67B-324BAFE7B0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286E4-53DE-4850-90D6-AC9E8D5EB7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89ADD-8690-43C7-8870-CDA53ECD19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69A02-0605-4A4D-BDB4-6DF3E30D0FF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4617E-FE84-4EA5-8D52-C7A1E05903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A194B-FB66-4068-A261-F49CC1E7D6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72651-BA59-4DE8-B2A3-34825F3046E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2C45E-E8F1-4167-86CF-542E993AFA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1B178-911A-49AE-85F2-ECB838C06F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F04E1-6042-445B-9B7F-6465831F7D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E943F-B2B9-4DD4-8787-E6A89B4BC3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667FD-236E-479D-8665-DB6C21B4B7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63731-2CC8-4A34-9A81-BD59224928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B7792-A776-4A89-B322-4EDAF31F2F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6D450-95BE-432C-912D-4AD63816AF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7462B-A0C0-4416-9F75-25C30AD44D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CFF73-9EC7-4F63-B010-3AD07EC5D3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DAA15-A375-4097-93FD-37852F5D54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1DD67-90E4-48DA-BEF3-BAC06FD2A0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7C6B1-B2C8-4D47-86D9-06E5417D01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D59C7-3960-4887-AFAB-C6B5541EA1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56E63-2267-4147-AA2A-5003148135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48461-ED45-4101-B96E-06FBA6CC93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4D8E1-46FE-4FBF-9D80-3BA2EDA676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83F78-6962-41CF-A51F-01120603FA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EF448-8AC7-4E08-A410-40173FBDD2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3FACE-2FE9-4F00-AFFC-69C9B4DFB0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54223-0510-40D2-8F9C-12DE5A04AE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EBF93-524D-4F80-AAE7-BB75DF1A16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7A7FA-51A0-48EB-A90D-13EFD4F568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DD0E5-77D4-42D6-9272-CA77BD124C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EA574-4761-427B-9C7C-0869CC158F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00620-4983-4860-B273-7A2A3BE268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D00FAC-F3A7-4273-AF58-5A399992A1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B2680-B3EF-4CFF-8E00-88BE9B8C70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CA7A7-85CA-4582-BBB7-9B2DAF804E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EE5FA-33E3-4307-9E57-190D4E1311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FDE88-D3CC-47A0-A72D-DAAD7AA004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1E5BD-43FE-41A3-AE78-D65800D33C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90CE3-0456-4C90-9FDA-9A397F2708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C9B0C-23CF-475E-987A-03805BB971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8F3FF-1A84-417F-BC31-6EA4AB3A8F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C57D7-2C5B-4328-B997-061B418832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51FF8-D95E-4133-9B67-40E05FE0C1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945DA-7ED1-40A7-A457-37E2C0EC73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9BAC0-705D-4C73-ABE1-BB0D88C784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BC104-C1E9-4CB9-AAC0-DFA2BBC894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39F6E-9043-4C2A-BDBC-5173CCC859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74011-A439-4964-B063-C796BBD95F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8BDD2-3B38-4B73-ACD3-6A78B15A79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91801-86A5-4977-83AF-B7726DD50B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A53A3-92B3-43E8-A859-A4259E9FB5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AB847-A4F1-40CB-AAA8-6DBCFB3651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9E8D8-626A-48A4-9793-3AEC73A250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67DBC-409F-4496-96E5-6E549623B1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C8310-17B4-456B-B8B4-3D9AE7E808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3BCFC-356D-45D2-8CFC-27A4DB20B0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470B0-F8C9-421C-8C6E-0E25CEFFED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B682C-76BE-44F8-BCC8-10F4B214B4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608B7-70EB-4D9E-A622-D27F081BC9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F020A-5093-44FB-A016-66FCB7401F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98ED3-DC2D-4445-835E-B2CF5C1265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DAD20-182F-4F15-A665-AF7C0AAC35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B6747-3A0F-445C-95D7-14877BF94D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5DBA8-7E9C-4775-8D8F-9A884DB910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9C304-9D2F-405B-932E-E76033D792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315C0-32B0-4DF6-AE18-ED809203C1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836D3-A640-4049-B0C3-BB45F2CB62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4A525-32A9-4695-A83D-B37761AC19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521CF-FA95-4F0A-9E58-8DDA75221B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013AC-97BB-4903-A6CB-90620E35C1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7E225-FF83-4CA6-8B11-319019B52A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06ABE-599F-4893-BFA3-26DB9B8621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F2683-B2CC-4A0C-842E-E3AD319375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C7810-47B7-419A-BD8D-1089D29920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0AA95-22F3-44EF-AA07-89229DDE377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18B0D-7A05-4AAB-970E-81FBEE915D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4BE45-8666-49FD-A375-FBFD33A826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8583A-580E-4E14-A70C-F766B32B8D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70242-477C-4780-ACBD-D10E7A328B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C1700-B570-4FD4-8869-499F8F8429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5053C-B2B9-4369-AA74-93CED7AAA2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1DDB2-9411-4554-8868-4751332D65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FC6DC-E6CD-4A05-A357-40CD734C6D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1DDD2-5F20-43EB-B3DE-1D7AAEDAE9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BD8DFF-4A4F-4CCC-9FE8-915D62E6E5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80B71-AB48-487C-837C-78F9AF43BF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BD781-7393-4BBA-8B61-F0F05AEBE0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5619C-329A-4C94-9620-B6EF4BE940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AD9B3-AFBD-477A-891B-4A86571AF53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EA90A-1A38-4C53-AD21-3F056DBB2B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19AC1-39D5-42F0-8F9D-D893024F6D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DC67F-8F3D-45DA-AC58-03851FEB4B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71279-E171-4238-AA69-9F310AA712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8DAB8-1815-4D8F-AA53-2260B90D2B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290C5-0D79-4AC4-BE24-4316EF75433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405C1-1B31-480B-A80B-F217FDAAA0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89192-4F48-42EE-95E7-D61E985F177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B9A9A-1BB7-4125-B00A-AFE874FDCD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6C8CD-69AC-4487-98AF-B1E1DD9566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82180-B982-41B6-B670-6E979CD6A2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887DA-DC2C-4FCC-892F-48CCC39CB8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1CB20-B7E7-4720-8E25-11A165D8EFC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04411-B629-4F28-9BD8-C13D420BAB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586B8-919B-49D8-98F7-98F72513CC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91807-AADC-4559-87F3-722E5F6D74F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40485-8EF6-4BC1-95BA-26E2C489D8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72485-4929-4456-BBB6-49C3E85880F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11C85-0CF9-49F8-AC5D-4EB0EDECB3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0A79E-A202-4906-9552-24E0A965C2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365E9-AC34-4264-AB3C-9218AAEAC3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76945-580A-4BD2-894E-8CBB599E5F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1CB60-4E2E-4CC7-AD49-9214C280B4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CAA00-3822-4C78-81DF-A21C94724BF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4CA86-55A5-415E-85CC-3A3E7A92AB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49BAD-9470-485D-932A-BAE67EE19B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0FCB0-863F-4A5C-B41F-BBE987C73A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6703B-9176-4FAA-9D2B-C64F2FDAF4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61C84-66D2-4D9E-A9B0-BE0B2B57B2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B0911-A1A3-4AA0-AB4D-122F417BC8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36E2A-0014-477D-8539-92EE280E53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9D78C-4A87-412B-8B69-D2E7809CDC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BFF9C-BDCA-43E5-8CA8-DFFC125274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69711-A5F5-4E8C-BD27-BFB2AF45BE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10A65-DC2A-49A4-98A6-5AA7B79C17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E53C4-1AC7-4053-8B39-68071499DC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71716D-EE01-4EC0-BEA8-2B4D58EC96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5AA79-CD15-4BEC-A97C-8DE1338573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298A1-41B1-4C07-9B0D-04D27CA7EA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B842B-1192-44C7-83B1-0289621398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62EE7-1961-4DDA-900E-90F2151F5C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FBC47-CE62-45C0-8267-CCBDAFFABD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AC196-6569-43B0-A30F-AC5C3CCA45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7B191-DB35-44FD-B026-9E7FC5246C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1AF0D0-C5B9-4694-A98B-08A24D5E82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EAEF6-FF58-4766-A2BE-4FAA435B19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2C2F3-3AC8-4049-B2E6-E9692997E7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B64D9-29A9-4A05-B374-82884BA44D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1EBCC-6A35-47D1-9A02-1148499459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C5EAB-410B-4961-A185-02CD1A827F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F8DEA-8FB1-4A68-A814-088956D53F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94E10-2D4B-4311-A4E8-DF2B4C3542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09358-E83E-4D9C-9577-456502F8DB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71E20-4274-4CC8-A2F9-333BF41904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30B0D-83E7-4DF5-8004-4FD3DA1529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5106C-572D-4E85-B863-173E0B6C51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5D77D-3F8D-4705-AC45-DEA2639AF2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AEA95-79C7-4848-986D-6F5300F295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72483-6F6E-4583-867F-EDE4D4A3A1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28102-3B22-43F1-8B7C-13E83128B4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FAB78-478B-42DD-9629-6A7BA79E6A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F1C15-F8A0-45F5-B807-9113BDCA1A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7CE9E-2D45-445D-9977-4DDDB9C9BE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6F97A-CB09-4023-A2E5-C7DFB7A707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F9386-6996-4D51-931D-F315641CAA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DDA7F-5309-4095-B53F-5BBD3C39DE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9B578-FDDB-4725-8EFB-8932118538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42B1B-7F77-47DE-84AF-C6F39E3EADC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05FA3-A397-41A5-BF23-4D7B8BFAD4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74413-AEE0-4C8E-BD23-0D64CC9521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9A340-BFBF-45C5-A49C-07D0A4B2D36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24F2A6-A5E1-4965-B4AB-6875336D40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09FBD-2FEE-492F-B250-27FE062FE2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BB267-EACA-45DD-8DA8-F0F58CAE6D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37927-39EF-44F5-BACE-535C997F07A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DEBB9-5FCB-4141-AAA9-10507404E8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033F8-0077-44E8-BCC6-C9193D9CE92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BDDEE-48B8-4E02-AB45-519EF1CB3D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23378-9D36-422E-AAD7-6B04831B80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26508-A5D4-4012-8BAC-5EE21B0DCF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159D3-EBC8-4C07-91F8-A52A0C5672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5B152-53D1-4693-ADD2-2AA75DB1150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19FB3-0298-4A85-87C0-1455152D67D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5A32D-C199-47BD-AAAE-7919B5E31D4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59D12-5DB6-47BF-A679-E0A9C533B89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76337-6212-4094-BA3B-0D0FA787D83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CE62F-BAE4-474A-8010-06AE510BEEF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DA82D-7D76-4DE4-9B0A-057F1BF7392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FECB8-B466-4FB9-84C2-0252D638005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8828B-37A8-4484-BC49-E947ECEE60F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F21B3-55A4-4B17-8BD8-DF4923396BA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A795E-36A5-4C4A-8515-1B08CE51A11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0519E-48BA-497F-B54C-F4BC1B5C2FA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8C2B9-EF76-471A-B819-071EAD52C54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73EAC-C79C-4852-A30A-190A7BB7E04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D10DA-B6C2-4859-B307-F16A89B0549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15D08-AC2A-4F35-B667-278F4908626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C160C-C6C0-42B1-99D0-581104C4F61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8157B-15BA-4EDE-9030-5E8A37C1324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5084A-3C9C-46B1-B3F4-BD416B28059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49EB8-520F-44CA-8C77-0AC5FAD9399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8CDF9-AFBB-4345-B635-96A6E78645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D11B0-ECD4-4940-BA45-57D27DE0ECE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DB2A4-1270-4DA9-BB2D-DF46FED1F69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99EDC-5BE0-48D9-9F58-FA5C585E88D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14900-412A-4F93-9CEA-BF1D8C9268C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1514A-5606-4571-BD28-62D82D5F750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2AFA6-C492-47FE-80A4-A86C4F32DAE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798A8-5D50-47AF-9C42-D308F9CE6A7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8C2AB-959D-4FC7-9971-C6545B7CFDD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67DBA-FD0D-4D88-B3BF-E1906B93AFE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AFB21-97AC-47CD-B996-5C77537D8DA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E00FE-D5F4-47F1-93F8-0506E97C0C0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A7A12-F7E2-4922-B440-72749069040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F619D-A7D2-4BAA-8E27-785BFB5F4BC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F999B-6A72-4844-8FE2-B2F5FFE8E2A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EE3DB-CBC4-4C5A-B32A-D50F9C6DCA9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BD136-1D20-4FB8-ACC3-57FDA4650B0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505BC-2D01-462D-846C-3F9D019C6FE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E38C4-572D-493E-9765-D272CB458F2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0E09D-3D41-4DF2-85C2-B04182C4D9B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0B09C-9C65-4562-93DC-F5629747415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B917A-8669-4029-AFF8-AA5B60A0F5C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0781B-D8FE-43A8-94F6-027E2E90A98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2AD5A-7C96-4940-82C6-8A67DFFC29E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707D6-4E25-4E59-A566-89D37743369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C5699-3BFA-4BC9-AE7D-1B867C323AB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F3DAD-4453-4DC0-A88D-7CCA30F329A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957E0-026E-44AD-9949-5979E8C02A5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12686-81F7-49B0-AFAA-EBAFB4434E6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1BF3A-1983-4F9F-8EF9-C9BEA2B4E32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A08E3-286C-44F0-978B-84886302E9A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357F7-C883-4748-8C20-F74A10198FC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21529-A424-476F-B13E-2E020E28748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337CE-7430-4DA4-A175-E7646B45112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10BF1-15D8-4EB8-8B4C-1FE8B9B8B67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E3B58-1585-4E8F-AC4A-E3F80C3FFF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19664-8DE6-46AD-865E-F6C2C239CC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75B45-0002-44BC-AD44-A2F75D2BF5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35874-7535-4E87-8ED7-E1BA55AABE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2542E-6295-4DF8-B7A7-3F35199C19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54AF7-B287-4FFB-88C1-6928CF0E93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EE5C2-94CE-4335-9749-2979345597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F19E2-B674-4349-96CF-BB209AB832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801A1-992A-4129-8AB2-6ACA04A2AD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0FE77-3C66-4281-8F6E-7958E35A47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98838-7B9B-4E77-9707-780C464956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4D406-FD84-466A-BE3F-99FFAF0ECC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38FDA-2787-44A0-8BFB-03AC32645C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10944-1813-462B-9A88-80C7B1E513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D2DEC-F2BF-4C85-AFBD-6638A0A80E3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952DB-114E-4051-B467-CDB031453C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0A638-1656-4771-884A-B1D66FA9CC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444CA-3986-4DE7-89E6-0345BF77A6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E2205-461F-4156-84C9-BC933D1777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B02C0-B85F-43E5-82B2-208F42C73E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FA1E7-FF92-40C6-A5A3-C73C7BAD96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B0B94-FF2E-447F-BEEB-EF4BFA7907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05436-6A42-4F30-8F44-406EDCBFFC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2409E-C978-4CE1-B9F9-A07775B1ED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EA688-3044-47AE-8961-57E988C709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D37528-5952-4E41-A76F-4EE6176D60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0679E-BDC0-4614-A8BC-B9824F4703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8B2D5-491D-476D-9C73-665E96BF69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38952-BD50-45EE-9C1B-721B973E7D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7D28F-C1E4-4E8F-AD5E-854DA867AE5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D9DB9-B001-4E5B-AFF9-1DBA562D8C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360F1-EC39-45BE-841E-54824FFFBC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23E5D-63A6-454B-A031-AB338C115D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E3A0F-967D-45FD-B873-29D441CE7A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E1EB3-E123-4199-A960-8D7730AEE9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A6FA0-E236-40C7-A864-DE4F34892C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CC76A-DB82-4A71-B08C-F1820A7166A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05BC2-6794-406A-950F-7F0E0B30EC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C8E51-6F4F-489E-82CE-8D450CF8F1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1EF95-F068-44E4-86F0-9F32CA6E455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2D430-D31E-453F-8799-45C6493104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6D70A-9CAC-40D7-8D99-945FEAD045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6D3A2-EF5D-4B8D-9284-9F2F0C7B52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FFBB5-7586-4E0A-8A65-20F4EE89C2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EDE8B-D082-4CBB-A84A-253B77F84D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C8EAF-A0DA-4F77-8F04-6CFAF6A8CB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03C15-033B-446D-99F8-0CF4618FEF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A22C4-26C5-4080-B423-5F867CC5B1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F38B2-7D1F-4534-A973-11524F18E1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0CDEC-F61D-4603-AEE4-F476D463EF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0BE47-CAEB-4AFE-946F-87CAA4EB5B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5AFC7-681C-4766-9A00-52FF56A6DC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EF74E-4DF5-4496-B65F-E4E667CB90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E2E2B-941D-48C1-8A8D-42760BBBE4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FEC57-0FF6-4018-9411-3EFAAD4EB5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6A8E6-CEFB-4867-AE95-A8971301D7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31A0F-34E9-4975-AE33-2499CEAEF5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74288-0FA5-4526-8417-ED79568EA7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863CD-4FA0-443B-AF2B-541852BB82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A84DD-44DE-451A-9C0B-FCBE8223AA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5664C-A1E3-4C17-87CA-D0C98D170F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6C84B-35B1-45AE-A144-E2A849A286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A30A5-D58A-4BB1-A0B6-2304F8C341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A68C1-A41B-4A09-ADA5-8B9702FCF3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4F672-AF66-4B64-94BC-879E73F559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FE69A-7FEF-40B8-AC23-C064D5BD6D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69157-CCFA-4B28-8162-D6EFDA2ED4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61512-D150-46D0-9B85-6AF8E3B4BE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075EE-3015-41B2-9AAD-506C00423E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DACB0-8F22-4DC7-86A0-12E27BC0DB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30089-D0B0-403D-96CD-5F2DA61D1A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8B298-9778-42F9-BA19-8950439FA0A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B85C3-025A-4F25-B353-76078A8314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99043-01BF-4F5C-AEA2-D13D5D9F92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7EB05-59E1-4971-AD9B-E35A80EC56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DF41A-7BEB-4BA9-B1B9-4E9A6DC66B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B6ADE-C458-40E2-BB64-94729E592A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F3393-8281-4142-961F-320507BDD5B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94940-3FB7-4343-A720-E40FC0578D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78246-7053-45CA-BD26-645B0F8398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3599D-17AA-480D-90BB-1FC55C84F8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C7FA3-1424-4355-9FE8-87BE5E87B1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4220D-20AE-4D06-BD02-75FD641E21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29150-1513-4CD3-91AF-D2C4E9FBEE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944C2-3988-454F-B75F-BFCFE2E594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7FA34-8BEB-40FA-ACE1-590C0E554B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A256F-C580-487E-99DC-CFBEC89799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53F98-3063-4D0E-81D3-292077C74A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B451D-6859-40B4-A2DD-A37807294D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A7B06-0905-4CDC-90A1-9B54BC6E00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22A1D-566D-4991-8F11-8A2454844D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8BA0A-EAF7-49DE-906B-B7E736F34C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F19C7-EA88-447F-9C79-008E302C17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9FF00-183F-4239-8D3F-31B6A7B247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5CC93-B9CC-4FF6-B51B-2712223CEF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77FE0-3216-4FE8-8599-0008465D5B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5C2E5-D5EC-44CB-BCA6-D77679830A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5B89F-CEB9-489B-8B91-C6CFBB50FF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895AF-5340-41ED-9BF8-3CC2F04019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A98D9-06A0-427D-B714-895F41DEDE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1CD0A-C3D2-4A57-B18A-DDDDCB805C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CDDAF-2FFD-41B9-A96E-CF7F17AC6FC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7293A-CC0A-4595-B9E2-4093EE5DA8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7F419-1A64-4351-98C2-24B4C956BA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D2039-90BC-4806-BA5F-44C0FAE9D6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8335C-DAE6-483F-8E3B-AE485DA593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D0CAD-B07E-4C7A-AE6F-0943D3E766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54412-3895-4AF1-8978-EF78B85358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E745C-32F5-47F0-AA8B-C9BBC9DB2F6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7D5FE-0406-4230-863E-569CF33920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BC764-3E11-437B-ADFD-3DFE75EA8D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EB596-E16B-450C-B3E1-983DBEFED5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45AC9-30E3-4E5F-B345-6282F877E4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2B336-DEC7-49D8-A489-738FCDBB18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76FFF-536B-49AA-85A3-146DEC0D8D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9BE9D4-F08F-4C52-B152-3F57A0272C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3DFCF-22E4-498E-A4B6-B040FC561D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47516-94B4-4569-989E-C876D3D77C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BEC2B-1197-4048-B7CD-5C262EB719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9E57D-792B-44A9-AFCD-FA2D3DA126F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7BE5A-E58F-4998-8A88-2FD4E8D9CC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31F20-1501-435F-8DC8-3761231226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C14A6-D4A7-4B8D-A19E-CA6718B78B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2CC70-9252-4F9E-94F6-113150AA3C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D0DD0-7C86-49FC-A805-BA417D859F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C1707E-2573-43F7-B330-3C7D8ADCBB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5C4D7-B909-49FE-82B3-C45D18B293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8BDA3-7937-457D-A58D-D2E07B4DC5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35D94-E34D-49A5-8E4A-2C1B351AC1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941DD-423B-4100-9A5E-0AB2D36268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4D956-AAAB-47B3-81BA-CABC3E87FF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E3C4B-FD5C-4265-ABEF-05D735FAEE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B619A-03E5-471E-ACCB-418D7A6391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28015-4CA5-4C79-9722-2A179DA0AF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730FD-FA4F-4985-A492-105F9950B3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6689A-E461-4AC5-B4B9-89454D8942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995D7-2712-45B6-AFF7-66DDF62F60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D78DB-BA62-4539-B575-387647BCD4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81937-4FF0-443A-8E95-DC6C828ECF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4BA8F-61E4-44DE-8330-7668746286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CC9E1-7B37-4BE6-8884-B60DAC65F7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9F712-32A1-4FE1-961F-476B7CC5AB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C0A43-42BD-4B43-B9B1-55C166A7B9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7BB1A-0585-48C6-8F0C-773096E812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6B8B7-7748-48DC-8338-D19AB58DDF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6F619-771A-4695-8C81-BA500467E5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9D3D9-6684-4720-8257-ACA3E24B3E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9977F-75B0-4EEA-B942-AE05464BDE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43F5C-C23E-46D7-A79C-F520035E39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17E38-C6DD-4B88-AC01-6A7C7D84FF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2CD25-C9AE-4EFE-A961-70B22E0D33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9D12D-A61F-44A1-8E76-AEE858392D2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E71AB-A0C6-4BBF-AE57-F7413AF0F8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CA660-7D49-44EB-AA36-EE5ED7BE35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F2ED9-EFFC-459A-BC33-F7D21E5CD6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8CB84-2D04-4E9A-980A-F636E9F016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C246E-F702-4D92-8947-45B2A19B48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9233B-F30F-4823-9235-8802DFABD1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76A16-7AAE-4818-B8A3-4AD4AD7EE7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EE9D9-5C70-42DD-8133-3E1C1ED409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007BF-1C75-45FA-B24D-F5664BEC4B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8B7EF2-FE40-4FE5-90F5-47A10C810C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FC654-3A93-4DC0-8D04-F535332956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78968-00C1-414F-A3ED-1F6EBA7C1B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FF492-8E26-4BF2-9D0C-C56FA92635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0B544-C72F-4952-9D84-76B0D75D1B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CA7FA-55E7-415E-A599-4ED880B013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B767B-D6ED-4B53-AFC8-5E8D5B76D9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A33EB-DA16-41A4-A099-16667F9873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8A358-C62F-49DF-846E-0FB7F367D3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1631F-6B5E-4DE1-B22B-C2F008D41C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10160-70CD-4843-B8C6-2B463DDD65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ECF6F-1C0A-42FE-9E70-9D9CFCC801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AD89E-E345-4F16-86BF-3AD57A5CFD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81860-CB1E-4B22-ACE1-154285E482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C1EB5-D000-4558-A235-2109443F7C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C584C-458F-4BD0-86D8-AAD7E6D247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B6FF7-182F-405B-9F84-F3B2E8ADBE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C6411-4E1C-4BAE-A1CD-51DD347573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F76D5-E2FE-4659-B66E-A41B0D939C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556ED-E404-49E6-8707-EB1B9FF140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FC9FF-A31F-484F-A09E-502FC5B9D6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3C616-BD2F-4EF3-98BD-11D8720B4E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FD9B5-5F3B-4AAC-889A-C9E608CD4A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2BE4B-B206-4C7B-B922-E7E02E9D2A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00C65-ED11-4E8E-A62F-E055795789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53B0A-2094-4F0C-9001-B4C7252897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CDE90-A1C0-4A4C-A1F3-5FAEACCEDF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D317B-A295-48C6-91C2-3D0F679580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C98D3-B6BE-46B5-920E-907B9CCA26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18840-C3AB-4BDE-A5B6-B68AD869EF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25FA1-155C-4425-AE9B-F00E67BB95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30958-213A-4D50-8F64-B18DD1246A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FD7EF-E477-45D9-ADF8-4369DEA727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11AE4-78F8-49FF-94FA-329C0EF7B0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FF72A-0A7B-476F-A75C-328272BAF8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3868B-55E9-4986-902B-248F6D4455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E439D-AC78-439B-A56C-28BBB7CD06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FE031-874D-4924-AF06-8D9E4AF96B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9BB42-7E10-4110-A89E-B8F25CCAAE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A42A1-E050-42BD-9889-6959C96333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8656D-039A-4A87-B513-78C87B358D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C395D-C72E-481D-9242-6A4F24B2D1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BAEEF-6FD0-45B3-A208-6EA5E8909D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C958E-AE0F-4B32-A73B-90AD961C3C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DB824-FC67-4D3A-B767-766763BD21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BE132-2169-428F-9C36-F9EBBEB265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91601E-9E78-4AA8-A814-071CAC9D41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BD65-5883-4539-9D5A-3DF989227203}">
  <dimension ref="A1:AB121"/>
  <sheetViews>
    <sheetView tabSelected="1" workbookViewId="0">
      <pane xSplit="1" topLeftCell="B1" activePane="topRight" state="frozen"/>
      <selection activeCell="A16" sqref="A16"/>
      <selection pane="topRight" activeCell="Z24" sqref="Z24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1.7109375" bestFit="1" customWidth="1"/>
    <col min="26" max="26" width="10.42578125" bestFit="1" customWidth="1"/>
    <col min="27" max="27" width="6.140625" customWidth="1"/>
    <col min="28" max="28" width="16.28515625" customWidth="1"/>
  </cols>
  <sheetData>
    <row r="1" spans="1:28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x14ac:dyDescent="0.25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27.7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8" ht="15.75" x14ac:dyDescent="0.25">
      <c r="A9" s="69" t="s">
        <v>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x14ac:dyDescent="0.25">
      <c r="A11" s="1" t="s">
        <v>2</v>
      </c>
      <c r="B11" s="71" t="s">
        <v>3</v>
      </c>
      <c r="C11" s="71"/>
      <c r="D11" s="71"/>
      <c r="E11" s="71" t="s">
        <v>4</v>
      </c>
      <c r="F11" s="71"/>
      <c r="G11" s="71"/>
      <c r="H11" s="72" t="s">
        <v>5</v>
      </c>
      <c r="I11" s="73"/>
      <c r="J11" s="74"/>
      <c r="K11" s="72" t="s">
        <v>6</v>
      </c>
      <c r="L11" s="73"/>
      <c r="M11" s="74"/>
      <c r="N11" s="72" t="s">
        <v>7</v>
      </c>
      <c r="O11" s="73"/>
      <c r="P11" s="74"/>
      <c r="Q11" s="72" t="s">
        <v>8</v>
      </c>
      <c r="R11" s="73"/>
      <c r="S11" s="74"/>
      <c r="T11" s="72" t="s">
        <v>9</v>
      </c>
      <c r="U11" s="73"/>
      <c r="V11" s="74"/>
      <c r="W11" s="71" t="s">
        <v>10</v>
      </c>
      <c r="X11" s="71"/>
      <c r="Y11" s="71"/>
      <c r="Z11" s="86" t="s">
        <v>11</v>
      </c>
      <c r="AA11" s="86"/>
      <c r="AB11" s="86"/>
    </row>
    <row r="12" spans="1:28" x14ac:dyDescent="0.25">
      <c r="A12" s="2" t="s">
        <v>12</v>
      </c>
      <c r="B12" s="87">
        <f>B13+B14+B15</f>
        <v>9586.0300000000007</v>
      </c>
      <c r="C12" s="88"/>
      <c r="D12" s="89"/>
      <c r="E12" s="90"/>
      <c r="F12" s="91"/>
      <c r="G12" s="92"/>
      <c r="H12" s="3"/>
      <c r="I12" s="4"/>
      <c r="J12" s="5"/>
      <c r="K12" s="4"/>
      <c r="L12" s="4"/>
      <c r="M12" s="4"/>
      <c r="N12" s="82"/>
      <c r="O12" s="83"/>
      <c r="P12" s="84"/>
      <c r="Q12" s="82"/>
      <c r="R12" s="83"/>
      <c r="S12" s="84"/>
      <c r="T12" s="82"/>
      <c r="U12" s="83"/>
      <c r="V12" s="84"/>
      <c r="W12" s="87">
        <f>9586.03</f>
        <v>9586.0300000000007</v>
      </c>
      <c r="X12" s="88"/>
      <c r="Y12" s="89"/>
      <c r="Z12" s="75">
        <f>9586.03</f>
        <v>9586.0300000000007</v>
      </c>
      <c r="AA12" s="75"/>
      <c r="AB12" s="75"/>
    </row>
    <row r="13" spans="1:28" x14ac:dyDescent="0.25">
      <c r="A13" s="6" t="s">
        <v>13</v>
      </c>
      <c r="B13" s="76">
        <f>13836</f>
        <v>13836</v>
      </c>
      <c r="C13" s="77"/>
      <c r="D13" s="78"/>
      <c r="E13" s="79"/>
      <c r="F13" s="80"/>
      <c r="G13" s="81"/>
      <c r="H13" s="7"/>
      <c r="I13" s="8"/>
      <c r="J13" s="9"/>
      <c r="K13" s="8"/>
      <c r="L13" s="8"/>
      <c r="M13" s="8"/>
      <c r="N13" s="82"/>
      <c r="O13" s="83"/>
      <c r="P13" s="84"/>
      <c r="Q13" s="82"/>
      <c r="R13" s="83"/>
      <c r="S13" s="84"/>
      <c r="T13" s="82"/>
      <c r="U13" s="83"/>
      <c r="V13" s="84"/>
      <c r="W13" s="76"/>
      <c r="X13" s="77"/>
      <c r="Y13" s="78"/>
      <c r="Z13" s="85"/>
      <c r="AA13" s="85"/>
      <c r="AB13" s="85"/>
    </row>
    <row r="14" spans="1:28" x14ac:dyDescent="0.25">
      <c r="A14" s="6" t="s">
        <v>14</v>
      </c>
      <c r="B14" s="76">
        <f>642.76</f>
        <v>642.76</v>
      </c>
      <c r="C14" s="77"/>
      <c r="D14" s="78"/>
      <c r="E14" s="79"/>
      <c r="F14" s="80"/>
      <c r="G14" s="81"/>
      <c r="H14" s="7"/>
      <c r="I14" s="8"/>
      <c r="J14" s="9"/>
      <c r="K14" s="8"/>
      <c r="L14" s="8"/>
      <c r="M14" s="8"/>
      <c r="N14" s="82"/>
      <c r="O14" s="83"/>
      <c r="P14" s="84"/>
      <c r="Q14" s="82"/>
      <c r="R14" s="83"/>
      <c r="S14" s="84"/>
      <c r="T14" s="82"/>
      <c r="U14" s="83"/>
      <c r="V14" s="84"/>
      <c r="W14" s="76"/>
      <c r="X14" s="77"/>
      <c r="Y14" s="78"/>
      <c r="Z14" s="93"/>
      <c r="AA14" s="93"/>
      <c r="AB14" s="93"/>
    </row>
    <row r="15" spans="1:28" x14ac:dyDescent="0.25">
      <c r="A15" s="6" t="s">
        <v>15</v>
      </c>
      <c r="B15" s="76">
        <f>-4892.73</f>
        <v>-4892.7299999999996</v>
      </c>
      <c r="C15" s="77"/>
      <c r="D15" s="78"/>
      <c r="E15" s="79"/>
      <c r="F15" s="80"/>
      <c r="G15" s="81"/>
      <c r="H15" s="7"/>
      <c r="I15" s="8"/>
      <c r="J15" s="9"/>
      <c r="K15" s="94"/>
      <c r="L15" s="95"/>
      <c r="M15" s="96"/>
      <c r="N15" s="82"/>
      <c r="O15" s="83"/>
      <c r="P15" s="84"/>
      <c r="Q15" s="82" t="s">
        <v>16</v>
      </c>
      <c r="R15" s="83"/>
      <c r="S15" s="84"/>
      <c r="T15" s="82"/>
      <c r="U15" s="83"/>
      <c r="V15" s="84"/>
      <c r="W15" s="76"/>
      <c r="X15" s="77"/>
      <c r="Y15" s="78"/>
      <c r="Z15" s="93"/>
      <c r="AA15" s="93"/>
      <c r="AB15" s="93"/>
    </row>
    <row r="16" spans="1:28" x14ac:dyDescent="0.25">
      <c r="A16" s="10" t="s">
        <v>17</v>
      </c>
      <c r="B16" s="108">
        <f>4186449.06</f>
        <v>4186449.06</v>
      </c>
      <c r="C16" s="109"/>
      <c r="D16" s="110"/>
      <c r="E16" s="111"/>
      <c r="F16" s="112"/>
      <c r="G16" s="113"/>
      <c r="H16" s="11"/>
      <c r="I16" s="12"/>
      <c r="J16" s="13"/>
      <c r="K16" s="12"/>
      <c r="L16" s="12"/>
      <c r="M16" s="12"/>
      <c r="N16" s="114"/>
      <c r="O16" s="115"/>
      <c r="P16" s="116"/>
      <c r="Q16" s="111"/>
      <c r="R16" s="112"/>
      <c r="S16" s="113"/>
      <c r="T16" s="111"/>
      <c r="U16" s="112"/>
      <c r="V16" s="113"/>
      <c r="W16" s="108">
        <f>Y27</f>
        <v>503244.16000000003</v>
      </c>
      <c r="X16" s="109"/>
      <c r="Y16" s="110"/>
      <c r="Z16" s="97">
        <f>AB27</f>
        <v>4689693.22</v>
      </c>
      <c r="AA16" s="97"/>
      <c r="AB16" s="97"/>
    </row>
    <row r="17" spans="1:28" x14ac:dyDescent="0.25">
      <c r="A17" s="14" t="s">
        <v>18</v>
      </c>
      <c r="B17" s="98">
        <f>2036201.14</f>
        <v>2036201.14</v>
      </c>
      <c r="C17" s="99"/>
      <c r="D17" s="100"/>
      <c r="E17" s="101"/>
      <c r="F17" s="102"/>
      <c r="G17" s="103"/>
      <c r="H17" s="15"/>
      <c r="I17" s="16"/>
      <c r="J17" s="17"/>
      <c r="K17" s="16"/>
      <c r="L17" s="16"/>
      <c r="M17" s="16"/>
      <c r="N17" s="104"/>
      <c r="O17" s="105"/>
      <c r="P17" s="106"/>
      <c r="Q17" s="101"/>
      <c r="R17" s="102"/>
      <c r="S17" s="103"/>
      <c r="T17" s="101"/>
      <c r="U17" s="102"/>
      <c r="V17" s="103"/>
      <c r="W17" s="98">
        <f>W102</f>
        <v>366348.51999999996</v>
      </c>
      <c r="X17" s="99"/>
      <c r="Y17" s="100"/>
      <c r="Z17" s="107">
        <f>AA102</f>
        <v>2402549.66</v>
      </c>
      <c r="AA17" s="107"/>
      <c r="AB17" s="107"/>
    </row>
    <row r="18" spans="1:28" x14ac:dyDescent="0.25">
      <c r="A18" s="10" t="s">
        <v>19</v>
      </c>
      <c r="B18" s="125">
        <f>B16-B17+B12</f>
        <v>2159833.9499999997</v>
      </c>
      <c r="C18" s="126"/>
      <c r="D18" s="127"/>
      <c r="E18" s="128"/>
      <c r="F18" s="129"/>
      <c r="G18" s="130"/>
      <c r="H18" s="18"/>
      <c r="I18" s="19"/>
      <c r="J18" s="20"/>
      <c r="K18" s="19"/>
      <c r="L18" s="19"/>
      <c r="M18" s="19"/>
      <c r="N18" s="131"/>
      <c r="O18" s="132"/>
      <c r="P18" s="133"/>
      <c r="Q18" s="128"/>
      <c r="R18" s="129"/>
      <c r="S18" s="130"/>
      <c r="T18" s="128"/>
      <c r="U18" s="129"/>
      <c r="V18" s="130"/>
      <c r="W18" s="125">
        <f>W16-W17</f>
        <v>136895.64000000007</v>
      </c>
      <c r="X18" s="126"/>
      <c r="Y18" s="127"/>
      <c r="Z18" s="122">
        <f>Z16-Z17+Z12</f>
        <v>2296729.5899999994</v>
      </c>
      <c r="AA18" s="122"/>
      <c r="AB18" s="122"/>
    </row>
    <row r="19" spans="1:28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</row>
    <row r="20" spans="1:28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 x14ac:dyDescent="0.25">
      <c r="A21" s="123" t="s">
        <v>20</v>
      </c>
      <c r="B21" s="71" t="s">
        <v>3</v>
      </c>
      <c r="C21" s="71"/>
      <c r="D21" s="71"/>
      <c r="E21" s="72" t="s">
        <v>4</v>
      </c>
      <c r="F21" s="73"/>
      <c r="G21" s="74"/>
      <c r="H21" s="72" t="s">
        <v>5</v>
      </c>
      <c r="I21" s="73"/>
      <c r="J21" s="74"/>
      <c r="K21" s="72" t="s">
        <v>6</v>
      </c>
      <c r="L21" s="73"/>
      <c r="M21" s="74"/>
      <c r="N21" s="72" t="s">
        <v>7</v>
      </c>
      <c r="O21" s="73"/>
      <c r="P21" s="74"/>
      <c r="Q21" s="72" t="s">
        <v>8</v>
      </c>
      <c r="R21" s="73"/>
      <c r="S21" s="74"/>
      <c r="T21" s="72" t="s">
        <v>9</v>
      </c>
      <c r="U21" s="73"/>
      <c r="V21" s="74"/>
      <c r="W21" s="71" t="s">
        <v>10</v>
      </c>
      <c r="X21" s="71"/>
      <c r="Y21" s="71"/>
      <c r="Z21" s="117" t="s">
        <v>21</v>
      </c>
      <c r="AA21" s="86" t="s">
        <v>11</v>
      </c>
      <c r="AB21" s="86"/>
    </row>
    <row r="22" spans="1:28" x14ac:dyDescent="0.25">
      <c r="A22" s="124"/>
      <c r="B22" s="118" t="s">
        <v>22</v>
      </c>
      <c r="C22" s="119"/>
      <c r="D22" s="21" t="s">
        <v>23</v>
      </c>
      <c r="E22" s="21" t="s">
        <v>24</v>
      </c>
      <c r="F22" s="21" t="s">
        <v>25</v>
      </c>
      <c r="G22" s="21" t="s">
        <v>23</v>
      </c>
      <c r="H22" s="21" t="s">
        <v>24</v>
      </c>
      <c r="I22" s="21" t="s">
        <v>25</v>
      </c>
      <c r="J22" s="21"/>
      <c r="K22" s="21" t="s">
        <v>24</v>
      </c>
      <c r="L22" s="21" t="s">
        <v>25</v>
      </c>
      <c r="M22" s="21"/>
      <c r="N22" s="21" t="s">
        <v>24</v>
      </c>
      <c r="O22" s="21" t="s">
        <v>25</v>
      </c>
      <c r="P22" s="21"/>
      <c r="Q22" s="21" t="s">
        <v>24</v>
      </c>
      <c r="R22" s="21" t="s">
        <v>25</v>
      </c>
      <c r="S22" s="21"/>
      <c r="T22" s="21" t="s">
        <v>24</v>
      </c>
      <c r="U22" s="21" t="s">
        <v>25</v>
      </c>
      <c r="V22" s="21"/>
      <c r="W22" s="21" t="s">
        <v>24</v>
      </c>
      <c r="X22" s="21" t="s">
        <v>25</v>
      </c>
      <c r="Y22" s="21" t="s">
        <v>23</v>
      </c>
      <c r="Z22" s="117"/>
      <c r="AA22" s="22" t="s">
        <v>22</v>
      </c>
      <c r="AB22" s="22" t="s">
        <v>23</v>
      </c>
    </row>
    <row r="23" spans="1:28" x14ac:dyDescent="0.25">
      <c r="A23" s="23" t="s">
        <v>26</v>
      </c>
      <c r="B23" s="120">
        <v>158</v>
      </c>
      <c r="C23" s="121"/>
      <c r="D23" s="24">
        <f>17760.02+186880+2455.53+1205.11</f>
        <v>208300.65999999997</v>
      </c>
      <c r="E23" s="25"/>
      <c r="F23" s="25"/>
      <c r="G23" s="24"/>
      <c r="H23" s="25"/>
      <c r="I23" s="26"/>
      <c r="J23" s="24"/>
      <c r="K23" s="25"/>
      <c r="L23" s="26"/>
      <c r="M23" s="24"/>
      <c r="N23" s="25"/>
      <c r="O23" s="25"/>
      <c r="P23" s="24"/>
      <c r="Q23" s="25"/>
      <c r="R23" s="26"/>
      <c r="S23" s="24"/>
      <c r="T23" s="25"/>
      <c r="U23" s="26"/>
      <c r="V23" s="24"/>
      <c r="W23" s="25"/>
      <c r="X23" s="26"/>
      <c r="Y23" s="27"/>
      <c r="Z23" s="28"/>
      <c r="AA23" s="29">
        <v>158</v>
      </c>
      <c r="AB23" s="30">
        <f>208300.66</f>
        <v>208300.66</v>
      </c>
    </row>
    <row r="24" spans="1:28" x14ac:dyDescent="0.25">
      <c r="A24" s="6" t="s">
        <v>27</v>
      </c>
      <c r="B24" s="120">
        <v>5872</v>
      </c>
      <c r="C24" s="121"/>
      <c r="D24" s="24">
        <f>3713342.03</f>
        <v>3713342.03</v>
      </c>
      <c r="E24" s="25">
        <f>-10</f>
        <v>-10</v>
      </c>
      <c r="F24" s="25">
        <v>9</v>
      </c>
      <c r="G24" s="31">
        <f>40+40+120+20+115920+40+127.33</f>
        <v>116307.33</v>
      </c>
      <c r="H24" s="25">
        <v>-8</v>
      </c>
      <c r="I24" s="26">
        <v>20</v>
      </c>
      <c r="J24" s="31">
        <f>20+60+80+80+80+80+180+114720+280</f>
        <v>115580</v>
      </c>
      <c r="K24" s="25">
        <v>-7</v>
      </c>
      <c r="L24" s="26">
        <v>17</v>
      </c>
      <c r="M24" s="31">
        <f>80+40+80+40+80+360+80+80+60+80+80+40+80+40+1700+20+80+80+80+80+80+80+80+80</f>
        <v>3580</v>
      </c>
      <c r="N24" s="25">
        <v>-16</v>
      </c>
      <c r="O24" s="25">
        <v>9</v>
      </c>
      <c r="P24" s="31">
        <f>520+120+400+80+20+30+80+20+116620+100+60+160</f>
        <v>118210</v>
      </c>
      <c r="Q24" s="25">
        <v>-16</v>
      </c>
      <c r="R24" s="26">
        <v>13</v>
      </c>
      <c r="S24" s="31">
        <f>100+140+100+100+80+160+80+80+20+60+40+100+140+40+220+620</f>
        <v>2080</v>
      </c>
      <c r="T24" s="25">
        <v>-21</v>
      </c>
      <c r="U24" s="26">
        <v>132</v>
      </c>
      <c r="V24" s="31">
        <f>20+80+20+20+100+115940+40+280+40+40</f>
        <v>116580</v>
      </c>
      <c r="W24" s="25">
        <f>-10-8-7-16-16-21</f>
        <v>-78</v>
      </c>
      <c r="X24" s="26">
        <f>9+20+17+9+13+132</f>
        <v>200</v>
      </c>
      <c r="Y24" s="27">
        <f>0+G24+J24+M24+P24+S24+V24</f>
        <v>472337.33</v>
      </c>
      <c r="Z24" s="32">
        <f>Y24/Y27</f>
        <v>0.93858482133205479</v>
      </c>
      <c r="AA24" s="33">
        <f>5872+W24+X24</f>
        <v>5994</v>
      </c>
      <c r="AB24" s="34">
        <f>3713342.03+Y24</f>
        <v>4185679.36</v>
      </c>
    </row>
    <row r="25" spans="1:28" x14ac:dyDescent="0.25">
      <c r="A25" s="35" t="s">
        <v>28</v>
      </c>
      <c r="B25" s="120"/>
      <c r="C25" s="121"/>
      <c r="D25" s="24">
        <f>263771.64</f>
        <v>263771.64</v>
      </c>
      <c r="E25" s="25"/>
      <c r="F25" s="25"/>
      <c r="G25" s="31">
        <f>3456.99+2528.85+1258.22+447.4</f>
        <v>7691.46</v>
      </c>
      <c r="H25" s="25"/>
      <c r="I25" s="26"/>
      <c r="J25" s="31">
        <f>2097.79+989.67+2306.35</f>
        <v>5393.8099999999995</v>
      </c>
      <c r="K25" s="25"/>
      <c r="L25" s="26"/>
      <c r="M25" s="31">
        <f>2670.71+1353.08+748.68</f>
        <v>4772.47</v>
      </c>
      <c r="N25" s="25"/>
      <c r="O25" s="25"/>
      <c r="P25" s="31">
        <f>994.9+25.38+2243.52</f>
        <v>3263.8</v>
      </c>
      <c r="Q25" s="25"/>
      <c r="R25" s="26"/>
      <c r="S25" s="31">
        <f>766.4+2494.19+209.71+1884.67</f>
        <v>5354.97</v>
      </c>
      <c r="T25" s="25"/>
      <c r="U25" s="26"/>
      <c r="V25" s="31">
        <f>573.82+1968.57+184.59+1703.34</f>
        <v>4430.32</v>
      </c>
      <c r="W25" s="25"/>
      <c r="X25" s="26"/>
      <c r="Y25" s="27">
        <f>0+G25+J25+M25+P25+S25+V25</f>
        <v>30906.83</v>
      </c>
      <c r="Z25" s="32">
        <f>Y25/Y27</f>
        <v>6.14151786679452E-2</v>
      </c>
      <c r="AA25" s="26"/>
      <c r="AB25" s="34">
        <f>263771.64+Y25</f>
        <v>294678.47000000003</v>
      </c>
    </row>
    <row r="26" spans="1:28" x14ac:dyDescent="0.25">
      <c r="A26" s="26" t="s">
        <v>29</v>
      </c>
      <c r="B26" s="120"/>
      <c r="C26" s="121"/>
      <c r="D26" s="24">
        <f>1034.73</f>
        <v>1034.73</v>
      </c>
      <c r="E26" s="25"/>
      <c r="F26" s="25"/>
      <c r="G26" s="24"/>
      <c r="H26" s="25"/>
      <c r="I26" s="26"/>
      <c r="J26" s="24"/>
      <c r="K26" s="25"/>
      <c r="L26" s="26"/>
      <c r="M26" s="24"/>
      <c r="N26" s="25"/>
      <c r="O26" s="25"/>
      <c r="P26" s="24"/>
      <c r="Q26" s="25"/>
      <c r="R26" s="26"/>
      <c r="S26" s="24"/>
      <c r="T26" s="25"/>
      <c r="U26" s="26"/>
      <c r="V26" s="24"/>
      <c r="W26" s="25"/>
      <c r="X26" s="26"/>
      <c r="Y26" s="27">
        <f>0+G26</f>
        <v>0</v>
      </c>
      <c r="Z26" s="28">
        <f>Y26/Y27</f>
        <v>0</v>
      </c>
      <c r="AA26" s="36"/>
      <c r="AB26" s="30">
        <f>1034.73+Y26</f>
        <v>1034.73</v>
      </c>
    </row>
    <row r="27" spans="1:28" x14ac:dyDescent="0.25">
      <c r="A27" s="37" t="s">
        <v>30</v>
      </c>
      <c r="B27" s="138">
        <f>SUM(B23:C26)</f>
        <v>6030</v>
      </c>
      <c r="C27" s="139"/>
      <c r="D27" s="38">
        <f>SUM(D23:D26)</f>
        <v>4186449.06</v>
      </c>
      <c r="E27" s="138">
        <f>B27+E24+F24</f>
        <v>6029</v>
      </c>
      <c r="F27" s="139"/>
      <c r="G27" s="38">
        <f>SUM(G23:G26)</f>
        <v>123998.79000000001</v>
      </c>
      <c r="H27" s="136">
        <f>E27+H24+I24</f>
        <v>6041</v>
      </c>
      <c r="I27" s="136"/>
      <c r="J27" s="38">
        <f>SUM(J24:J26)</f>
        <v>120973.81</v>
      </c>
      <c r="K27" s="136">
        <f>H27+K24+L24</f>
        <v>6051</v>
      </c>
      <c r="L27" s="136"/>
      <c r="M27" s="38">
        <f>SUM(M24:M26)</f>
        <v>8352.4700000000012</v>
      </c>
      <c r="N27" s="134">
        <f>K27+N24+O24</f>
        <v>6044</v>
      </c>
      <c r="O27" s="135"/>
      <c r="P27" s="38">
        <f>SUM(P24:P26)</f>
        <v>121473.8</v>
      </c>
      <c r="Q27" s="134">
        <f>N27+Q24+R24</f>
        <v>6041</v>
      </c>
      <c r="R27" s="135"/>
      <c r="S27" s="38">
        <f>SUM(S24:S26)</f>
        <v>7434.97</v>
      </c>
      <c r="T27" s="134">
        <f>Q27+T24+U24</f>
        <v>6152</v>
      </c>
      <c r="U27" s="135"/>
      <c r="V27" s="38">
        <f>SUM(V24:V26)</f>
        <v>121010.32</v>
      </c>
      <c r="W27" s="136">
        <f>B27+W24+X24</f>
        <v>6152</v>
      </c>
      <c r="X27" s="136"/>
      <c r="Y27" s="38">
        <f>SUM(Y23:Y26)</f>
        <v>503244.16000000003</v>
      </c>
      <c r="Z27" s="39">
        <f>Y27/Y27</f>
        <v>1</v>
      </c>
      <c r="AA27" s="40">
        <f>SUM(AA23:AA26)</f>
        <v>6152</v>
      </c>
      <c r="AB27" s="41">
        <f>SUM(AB23:AB26)</f>
        <v>4689693.22</v>
      </c>
    </row>
    <row r="28" spans="1:28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</row>
    <row r="29" spans="1:28" x14ac:dyDescent="0.2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</row>
    <row r="30" spans="1:28" ht="15.75" x14ac:dyDescent="0.25">
      <c r="A30" s="69" t="s">
        <v>31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x14ac:dyDescent="0.2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</row>
    <row r="32" spans="1:28" x14ac:dyDescent="0.25">
      <c r="A32" s="42" t="s">
        <v>18</v>
      </c>
      <c r="B32" s="71" t="s">
        <v>3</v>
      </c>
      <c r="C32" s="71"/>
      <c r="D32" s="71"/>
      <c r="E32" s="141" t="s">
        <v>4</v>
      </c>
      <c r="F32" s="142"/>
      <c r="G32" s="142"/>
      <c r="H32" s="141" t="s">
        <v>5</v>
      </c>
      <c r="I32" s="142"/>
      <c r="J32" s="143"/>
      <c r="K32" s="141" t="s">
        <v>6</v>
      </c>
      <c r="L32" s="142"/>
      <c r="M32" s="143"/>
      <c r="N32" s="141" t="s">
        <v>7</v>
      </c>
      <c r="O32" s="142"/>
      <c r="P32" s="143"/>
      <c r="Q32" s="72" t="s">
        <v>8</v>
      </c>
      <c r="R32" s="73"/>
      <c r="S32" s="74"/>
      <c r="T32" s="72" t="s">
        <v>9</v>
      </c>
      <c r="U32" s="73"/>
      <c r="V32" s="74"/>
      <c r="W32" s="71" t="s">
        <v>10</v>
      </c>
      <c r="X32" s="71"/>
      <c r="Y32" s="71"/>
      <c r="Z32" s="43" t="s">
        <v>21</v>
      </c>
      <c r="AA32" s="86" t="s">
        <v>11</v>
      </c>
      <c r="AB32" s="86"/>
    </row>
    <row r="33" spans="1:28" x14ac:dyDescent="0.25">
      <c r="A33" s="44" t="s">
        <v>32</v>
      </c>
      <c r="B33" s="147">
        <f>SUM(B34:D41)</f>
        <v>291683.03000000003</v>
      </c>
      <c r="C33" s="147"/>
      <c r="D33" s="147"/>
      <c r="E33" s="144">
        <f>SUM(E34:G41)</f>
        <v>16540.830000000002</v>
      </c>
      <c r="F33" s="145"/>
      <c r="G33" s="146"/>
      <c r="H33" s="144">
        <f>SUM(H34:J41)</f>
        <v>9994.66</v>
      </c>
      <c r="I33" s="145"/>
      <c r="J33" s="146"/>
      <c r="K33" s="144">
        <f>SUM(K34:M41)</f>
        <v>22394.66</v>
      </c>
      <c r="L33" s="145"/>
      <c r="M33" s="146"/>
      <c r="N33" s="144">
        <f>SUM(N34:P41)</f>
        <v>20217.91</v>
      </c>
      <c r="O33" s="145"/>
      <c r="P33" s="146"/>
      <c r="Q33" s="144">
        <f>SUM(Q34:S41)</f>
        <v>11771.41</v>
      </c>
      <c r="R33" s="145"/>
      <c r="S33" s="146"/>
      <c r="T33" s="144">
        <f>SUM(T34:V41)</f>
        <v>15994.66</v>
      </c>
      <c r="U33" s="145"/>
      <c r="V33" s="146"/>
      <c r="W33" s="147">
        <f>SUM(W34:Y41)</f>
        <v>96914.12999999999</v>
      </c>
      <c r="X33" s="147"/>
      <c r="Y33" s="147"/>
      <c r="Z33" s="45">
        <f>W33/W102</f>
        <v>0.26454079847244916</v>
      </c>
      <c r="AA33" s="148">
        <f>SUM(AA34:AB41)</f>
        <v>388597.16</v>
      </c>
      <c r="AB33" s="148"/>
    </row>
    <row r="34" spans="1:28" x14ac:dyDescent="0.25">
      <c r="A34" s="46" t="s">
        <v>33</v>
      </c>
      <c r="B34" s="149">
        <f>72200.64</f>
        <v>72200.639999999999</v>
      </c>
      <c r="C34" s="149"/>
      <c r="D34" s="149"/>
      <c r="E34" s="82">
        <v>0</v>
      </c>
      <c r="F34" s="83"/>
      <c r="G34" s="84"/>
      <c r="H34" s="82">
        <v>0</v>
      </c>
      <c r="I34" s="83"/>
      <c r="J34" s="84"/>
      <c r="K34" s="82">
        <v>0</v>
      </c>
      <c r="L34" s="83"/>
      <c r="M34" s="84"/>
      <c r="N34" s="82">
        <v>0</v>
      </c>
      <c r="O34" s="83"/>
      <c r="P34" s="84"/>
      <c r="Q34" s="82">
        <v>0</v>
      </c>
      <c r="R34" s="83"/>
      <c r="S34" s="84"/>
      <c r="T34" s="82">
        <v>0</v>
      </c>
      <c r="U34" s="83"/>
      <c r="V34" s="84"/>
      <c r="W34" s="149">
        <f>0+E34+H34+K34+N34+Q34+T34</f>
        <v>0</v>
      </c>
      <c r="X34" s="149"/>
      <c r="Y34" s="149"/>
      <c r="Z34" s="47">
        <f>W34/W102</f>
        <v>0</v>
      </c>
      <c r="AA34" s="150">
        <f>72200.64+W34</f>
        <v>72200.639999999999</v>
      </c>
      <c r="AB34" s="150"/>
    </row>
    <row r="35" spans="1:28" x14ac:dyDescent="0.25">
      <c r="A35" s="48" t="s">
        <v>34</v>
      </c>
      <c r="B35" s="149">
        <v>36000</v>
      </c>
      <c r="C35" s="149"/>
      <c r="D35" s="149"/>
      <c r="E35" s="151">
        <f>6000</f>
        <v>6000</v>
      </c>
      <c r="F35" s="152"/>
      <c r="G35" s="153"/>
      <c r="H35" s="82">
        <v>0</v>
      </c>
      <c r="I35" s="83"/>
      <c r="J35" s="84"/>
      <c r="K35" s="82">
        <f>6000+6000</f>
        <v>12000</v>
      </c>
      <c r="L35" s="83"/>
      <c r="M35" s="84"/>
      <c r="N35" s="82">
        <f>6000</f>
        <v>6000</v>
      </c>
      <c r="O35" s="83"/>
      <c r="P35" s="84"/>
      <c r="Q35" s="82">
        <f>6000</f>
        <v>6000</v>
      </c>
      <c r="R35" s="83"/>
      <c r="S35" s="84"/>
      <c r="T35" s="82">
        <f>6000</f>
        <v>6000</v>
      </c>
      <c r="U35" s="83"/>
      <c r="V35" s="84"/>
      <c r="W35" s="149">
        <f t="shared" ref="W35:W40" si="0">0+E35+H35+K35+N35+Q35+T35</f>
        <v>36000</v>
      </c>
      <c r="X35" s="149"/>
      <c r="Y35" s="149"/>
      <c r="Z35" s="47">
        <f>W35/W102</f>
        <v>9.8267081848727011E-2</v>
      </c>
      <c r="AA35" s="150">
        <f>36000+W35</f>
        <v>72000</v>
      </c>
      <c r="AB35" s="150"/>
    </row>
    <row r="36" spans="1:28" x14ac:dyDescent="0.25">
      <c r="A36" s="46" t="s">
        <v>35</v>
      </c>
      <c r="B36" s="149">
        <v>41057.96</v>
      </c>
      <c r="C36" s="149"/>
      <c r="D36" s="149"/>
      <c r="E36" s="82">
        <f>1260</f>
        <v>1260</v>
      </c>
      <c r="F36" s="83"/>
      <c r="G36" s="84"/>
      <c r="H36" s="82">
        <f>925</f>
        <v>925</v>
      </c>
      <c r="I36" s="83"/>
      <c r="J36" s="84"/>
      <c r="K36" s="82">
        <f>1325</f>
        <v>1325</v>
      </c>
      <c r="L36" s="83"/>
      <c r="M36" s="84"/>
      <c r="N36" s="82">
        <f>925</f>
        <v>925</v>
      </c>
      <c r="O36" s="83"/>
      <c r="P36" s="84"/>
      <c r="Q36" s="82">
        <f>925</f>
        <v>925</v>
      </c>
      <c r="R36" s="83"/>
      <c r="S36" s="84"/>
      <c r="T36" s="82">
        <f>925</f>
        <v>925</v>
      </c>
      <c r="U36" s="83"/>
      <c r="V36" s="84"/>
      <c r="W36" s="149">
        <f t="shared" si="0"/>
        <v>6285</v>
      </c>
      <c r="X36" s="149"/>
      <c r="Y36" s="149"/>
      <c r="Z36" s="47">
        <f>W36/W102</f>
        <v>1.7155794706090258E-2</v>
      </c>
      <c r="AA36" s="150">
        <f>41057.96+W36</f>
        <v>47342.96</v>
      </c>
      <c r="AB36" s="150"/>
    </row>
    <row r="37" spans="1:28" x14ac:dyDescent="0.25">
      <c r="A37" s="46" t="s">
        <v>36</v>
      </c>
      <c r="B37" s="149">
        <v>97597.28</v>
      </c>
      <c r="C37" s="149"/>
      <c r="D37" s="149"/>
      <c r="E37" s="82">
        <v>4846.41</v>
      </c>
      <c r="F37" s="83"/>
      <c r="G37" s="84"/>
      <c r="H37" s="82">
        <f>4846.41</f>
        <v>4846.41</v>
      </c>
      <c r="I37" s="83"/>
      <c r="J37" s="84"/>
      <c r="K37" s="82">
        <f>4846.41</f>
        <v>4846.41</v>
      </c>
      <c r="L37" s="83"/>
      <c r="M37" s="84"/>
      <c r="N37" s="82">
        <f>4846.41</f>
        <v>4846.41</v>
      </c>
      <c r="O37" s="83"/>
      <c r="P37" s="84"/>
      <c r="Q37" s="82">
        <f>4846.41</f>
        <v>4846.41</v>
      </c>
      <c r="R37" s="83"/>
      <c r="S37" s="84"/>
      <c r="T37" s="82">
        <f>4846.41</f>
        <v>4846.41</v>
      </c>
      <c r="U37" s="83"/>
      <c r="V37" s="84"/>
      <c r="W37" s="149">
        <f t="shared" si="0"/>
        <v>29078.46</v>
      </c>
      <c r="X37" s="149"/>
      <c r="Y37" s="149"/>
      <c r="Z37" s="47">
        <f>W37/W102</f>
        <v>7.9373761357081504E-2</v>
      </c>
      <c r="AA37" s="150">
        <f>97597.28+W37</f>
        <v>126675.73999999999</v>
      </c>
      <c r="AB37" s="150"/>
    </row>
    <row r="38" spans="1:28" x14ac:dyDescent="0.25">
      <c r="A38" s="46" t="s">
        <v>37</v>
      </c>
      <c r="B38" s="149">
        <v>26669.75</v>
      </c>
      <c r="C38" s="149"/>
      <c r="D38" s="149"/>
      <c r="E38" s="82">
        <v>4434.42</v>
      </c>
      <c r="F38" s="83"/>
      <c r="G38" s="84"/>
      <c r="H38" s="82">
        <f>4223.25</f>
        <v>4223.25</v>
      </c>
      <c r="I38" s="83"/>
      <c r="J38" s="84"/>
      <c r="K38" s="82">
        <f>4223.25</f>
        <v>4223.25</v>
      </c>
      <c r="L38" s="83"/>
      <c r="M38" s="84"/>
      <c r="N38" s="82">
        <f>4223.25+4223.25</f>
        <v>8446.5</v>
      </c>
      <c r="O38" s="83"/>
      <c r="P38" s="84"/>
      <c r="Q38" s="82">
        <v>0</v>
      </c>
      <c r="R38" s="83"/>
      <c r="S38" s="84"/>
      <c r="T38" s="82">
        <f>4223.25</f>
        <v>4223.25</v>
      </c>
      <c r="U38" s="83"/>
      <c r="V38" s="84"/>
      <c r="W38" s="149">
        <f t="shared" si="0"/>
        <v>25550.67</v>
      </c>
      <c r="X38" s="149"/>
      <c r="Y38" s="149"/>
      <c r="Z38" s="47">
        <f>W38/W102</f>
        <v>6.9744160560550383E-2</v>
      </c>
      <c r="AA38" s="150">
        <f>26669.75+W38</f>
        <v>52220.42</v>
      </c>
      <c r="AB38" s="150"/>
    </row>
    <row r="39" spans="1:28" x14ac:dyDescent="0.25">
      <c r="A39" s="46" t="s">
        <v>38</v>
      </c>
      <c r="B39" s="149">
        <f>8289</f>
        <v>8289</v>
      </c>
      <c r="C39" s="149"/>
      <c r="D39" s="149"/>
      <c r="E39" s="82">
        <v>0</v>
      </c>
      <c r="F39" s="83"/>
      <c r="G39" s="84"/>
      <c r="H39" s="82">
        <v>0</v>
      </c>
      <c r="I39" s="83"/>
      <c r="J39" s="84"/>
      <c r="K39" s="82">
        <v>0</v>
      </c>
      <c r="L39" s="83"/>
      <c r="M39" s="84"/>
      <c r="N39" s="82">
        <v>0</v>
      </c>
      <c r="O39" s="83"/>
      <c r="P39" s="84"/>
      <c r="Q39" s="82">
        <v>0</v>
      </c>
      <c r="R39" s="83"/>
      <c r="S39" s="84"/>
      <c r="T39" s="82">
        <v>0</v>
      </c>
      <c r="U39" s="83"/>
      <c r="V39" s="84"/>
      <c r="W39" s="149">
        <f t="shared" si="0"/>
        <v>0</v>
      </c>
      <c r="X39" s="149"/>
      <c r="Y39" s="149"/>
      <c r="Z39" s="47">
        <f>W39/W102</f>
        <v>0</v>
      </c>
      <c r="AA39" s="150">
        <f>8289+W39</f>
        <v>8289</v>
      </c>
      <c r="AB39" s="150"/>
    </row>
    <row r="40" spans="1:28" x14ac:dyDescent="0.25">
      <c r="A40" s="46" t="s">
        <v>39</v>
      </c>
      <c r="B40" s="149">
        <f>7863.4</f>
        <v>7863.4</v>
      </c>
      <c r="C40" s="149"/>
      <c r="D40" s="149"/>
      <c r="E40" s="82">
        <v>0</v>
      </c>
      <c r="F40" s="83"/>
      <c r="G40" s="84"/>
      <c r="H40" s="82">
        <v>0</v>
      </c>
      <c r="I40" s="83"/>
      <c r="J40" s="84"/>
      <c r="K40" s="82">
        <v>0</v>
      </c>
      <c r="L40" s="83"/>
      <c r="M40" s="84"/>
      <c r="N40" s="82">
        <v>0</v>
      </c>
      <c r="O40" s="83"/>
      <c r="P40" s="84"/>
      <c r="Q40" s="82">
        <v>0</v>
      </c>
      <c r="R40" s="83"/>
      <c r="S40" s="84"/>
      <c r="T40" s="82">
        <v>0</v>
      </c>
      <c r="U40" s="83"/>
      <c r="V40" s="84"/>
      <c r="W40" s="149">
        <f t="shared" si="0"/>
        <v>0</v>
      </c>
      <c r="X40" s="149"/>
      <c r="Y40" s="149"/>
      <c r="Z40" s="47">
        <f>W40/W102</f>
        <v>0</v>
      </c>
      <c r="AA40" s="150">
        <f>7863.4+W40</f>
        <v>7863.4</v>
      </c>
      <c r="AB40" s="150"/>
    </row>
    <row r="41" spans="1:28" x14ac:dyDescent="0.25">
      <c r="A41" s="46" t="s">
        <v>40</v>
      </c>
      <c r="B41" s="149">
        <f>2005</f>
        <v>2005</v>
      </c>
      <c r="C41" s="149"/>
      <c r="D41" s="149"/>
      <c r="E41" s="82">
        <v>0</v>
      </c>
      <c r="F41" s="83"/>
      <c r="G41" s="84"/>
      <c r="H41" s="82">
        <v>0</v>
      </c>
      <c r="I41" s="83"/>
      <c r="J41" s="84"/>
      <c r="K41" s="82">
        <v>0</v>
      </c>
      <c r="L41" s="83"/>
      <c r="M41" s="84"/>
      <c r="N41" s="82">
        <v>0</v>
      </c>
      <c r="O41" s="83"/>
      <c r="P41" s="84"/>
      <c r="Q41" s="82">
        <v>0</v>
      </c>
      <c r="R41" s="83"/>
      <c r="S41" s="84"/>
      <c r="T41" s="82">
        <v>0</v>
      </c>
      <c r="U41" s="83"/>
      <c r="V41" s="84"/>
      <c r="W41" s="149">
        <f>0+E41+H41+K41+N41+Q41+T41</f>
        <v>0</v>
      </c>
      <c r="X41" s="149"/>
      <c r="Y41" s="149"/>
      <c r="Z41" s="47">
        <f>W41/W102</f>
        <v>0</v>
      </c>
      <c r="AA41" s="150">
        <f>2005+W41</f>
        <v>2005</v>
      </c>
      <c r="AB41" s="150"/>
    </row>
    <row r="42" spans="1:28" x14ac:dyDescent="0.25">
      <c r="A42" s="44" t="s">
        <v>41</v>
      </c>
      <c r="B42" s="147">
        <f>SUM(B43:D45)</f>
        <v>380413.85</v>
      </c>
      <c r="C42" s="147"/>
      <c r="D42" s="147"/>
      <c r="E42" s="147">
        <f>SUM(E43:G45)</f>
        <v>0</v>
      </c>
      <c r="F42" s="147"/>
      <c r="G42" s="147"/>
      <c r="H42" s="147">
        <f>SUM(H43:J45)</f>
        <v>0</v>
      </c>
      <c r="I42" s="147"/>
      <c r="J42" s="147"/>
      <c r="K42" s="147">
        <f>SUM(K43:M45)</f>
        <v>0</v>
      </c>
      <c r="L42" s="147"/>
      <c r="M42" s="147"/>
      <c r="N42" s="147">
        <f>SUM(N43:P45)</f>
        <v>25000</v>
      </c>
      <c r="O42" s="147"/>
      <c r="P42" s="147"/>
      <c r="Q42" s="147">
        <f>SUM(Q43:S45)</f>
        <v>25000</v>
      </c>
      <c r="R42" s="147"/>
      <c r="S42" s="147"/>
      <c r="T42" s="147">
        <f>SUM(T43:V45)</f>
        <v>40000</v>
      </c>
      <c r="U42" s="147"/>
      <c r="V42" s="147"/>
      <c r="W42" s="147">
        <f>SUM(W43:Y45)</f>
        <v>90000</v>
      </c>
      <c r="X42" s="147"/>
      <c r="Y42" s="147"/>
      <c r="Z42" s="45">
        <f>W42/W102</f>
        <v>0.24566770462181753</v>
      </c>
      <c r="AA42" s="148">
        <f>SUM(AA43:AB45)</f>
        <v>470413.85</v>
      </c>
      <c r="AB42" s="148"/>
    </row>
    <row r="43" spans="1:28" x14ac:dyDescent="0.25">
      <c r="A43" s="46" t="s">
        <v>42</v>
      </c>
      <c r="B43" s="149">
        <f>214077.5</f>
        <v>214077.5</v>
      </c>
      <c r="C43" s="149"/>
      <c r="D43" s="149"/>
      <c r="E43" s="82">
        <v>0</v>
      </c>
      <c r="F43" s="83"/>
      <c r="G43" s="84"/>
      <c r="H43" s="82">
        <v>0</v>
      </c>
      <c r="I43" s="83"/>
      <c r="J43" s="84"/>
      <c r="K43" s="82">
        <v>0</v>
      </c>
      <c r="L43" s="83"/>
      <c r="M43" s="84"/>
      <c r="N43" s="82">
        <f>25000</f>
        <v>25000</v>
      </c>
      <c r="O43" s="83"/>
      <c r="P43" s="84"/>
      <c r="Q43" s="82">
        <f>25000</f>
        <v>25000</v>
      </c>
      <c r="R43" s="83"/>
      <c r="S43" s="84"/>
      <c r="T43" s="82">
        <f>40000</f>
        <v>40000</v>
      </c>
      <c r="U43" s="83"/>
      <c r="V43" s="84"/>
      <c r="W43" s="149">
        <f>E43+H43+K43+N43+Q43+T43</f>
        <v>90000</v>
      </c>
      <c r="X43" s="149"/>
      <c r="Y43" s="149"/>
      <c r="Z43" s="47">
        <f>W43/W102</f>
        <v>0.24566770462181753</v>
      </c>
      <c r="AA43" s="150">
        <f>214077.5+W43</f>
        <v>304077.5</v>
      </c>
      <c r="AB43" s="150"/>
    </row>
    <row r="44" spans="1:28" x14ac:dyDescent="0.25">
      <c r="A44" s="46" t="s">
        <v>43</v>
      </c>
      <c r="B44" s="149">
        <f>151996.63</f>
        <v>151996.63</v>
      </c>
      <c r="C44" s="149"/>
      <c r="D44" s="149"/>
      <c r="E44" s="82">
        <v>0</v>
      </c>
      <c r="F44" s="83"/>
      <c r="G44" s="84"/>
      <c r="H44" s="82">
        <v>0</v>
      </c>
      <c r="I44" s="83"/>
      <c r="J44" s="84"/>
      <c r="K44" s="82">
        <v>0</v>
      </c>
      <c r="L44" s="83"/>
      <c r="M44" s="84"/>
      <c r="N44" s="82">
        <v>0</v>
      </c>
      <c r="O44" s="83"/>
      <c r="P44" s="84"/>
      <c r="Q44" s="82">
        <v>0</v>
      </c>
      <c r="R44" s="83"/>
      <c r="S44" s="84"/>
      <c r="T44" s="82">
        <v>0</v>
      </c>
      <c r="U44" s="83"/>
      <c r="V44" s="84"/>
      <c r="W44" s="149">
        <f t="shared" ref="W44:W45" si="1">E44+H44+K44+N44+Q44+T44</f>
        <v>0</v>
      </c>
      <c r="X44" s="149"/>
      <c r="Y44" s="149"/>
      <c r="Z44" s="47">
        <f>W44/W102</f>
        <v>0</v>
      </c>
      <c r="AA44" s="150">
        <f>151996.63+W44</f>
        <v>151996.63</v>
      </c>
      <c r="AB44" s="150"/>
    </row>
    <row r="45" spans="1:28" x14ac:dyDescent="0.25">
      <c r="A45" s="46" t="s">
        <v>44</v>
      </c>
      <c r="B45" s="76">
        <v>14339.72</v>
      </c>
      <c r="C45" s="77"/>
      <c r="D45" s="78"/>
      <c r="E45" s="151">
        <v>0</v>
      </c>
      <c r="F45" s="152"/>
      <c r="G45" s="153"/>
      <c r="H45" s="82">
        <v>0</v>
      </c>
      <c r="I45" s="83"/>
      <c r="J45" s="84"/>
      <c r="K45" s="82">
        <v>0</v>
      </c>
      <c r="L45" s="83"/>
      <c r="M45" s="84"/>
      <c r="N45" s="82">
        <v>0</v>
      </c>
      <c r="O45" s="83"/>
      <c r="P45" s="84"/>
      <c r="Q45" s="82">
        <v>0</v>
      </c>
      <c r="R45" s="83"/>
      <c r="S45" s="84"/>
      <c r="T45" s="82">
        <v>0</v>
      </c>
      <c r="U45" s="83"/>
      <c r="V45" s="84"/>
      <c r="W45" s="149">
        <f t="shared" si="1"/>
        <v>0</v>
      </c>
      <c r="X45" s="149"/>
      <c r="Y45" s="149"/>
      <c r="Z45" s="47">
        <f>W45/W103</f>
        <v>0</v>
      </c>
      <c r="AA45" s="150">
        <f>14339.72+W45</f>
        <v>14339.72</v>
      </c>
      <c r="AB45" s="150"/>
    </row>
    <row r="46" spans="1:28" x14ac:dyDescent="0.25">
      <c r="A46" s="44" t="s">
        <v>45</v>
      </c>
      <c r="B46" s="147">
        <f>SUM(B47:D49)</f>
        <v>77211.740000000005</v>
      </c>
      <c r="C46" s="147"/>
      <c r="D46" s="147"/>
      <c r="E46" s="147">
        <f>SUM(E47:G49)</f>
        <v>0</v>
      </c>
      <c r="F46" s="147"/>
      <c r="G46" s="147"/>
      <c r="H46" s="147">
        <f>SUM(H47:J49)</f>
        <v>0</v>
      </c>
      <c r="I46" s="147"/>
      <c r="J46" s="147"/>
      <c r="K46" s="147">
        <f>SUM(K47:M49)</f>
        <v>0</v>
      </c>
      <c r="L46" s="147"/>
      <c r="M46" s="147"/>
      <c r="N46" s="147">
        <f>SUM(N47:P49)</f>
        <v>0</v>
      </c>
      <c r="O46" s="147"/>
      <c r="P46" s="147"/>
      <c r="Q46" s="147">
        <f>SUM(Q47:S49)</f>
        <v>0</v>
      </c>
      <c r="R46" s="147"/>
      <c r="S46" s="147"/>
      <c r="T46" s="147">
        <f>SUM(T47:V49)</f>
        <v>0</v>
      </c>
      <c r="U46" s="147"/>
      <c r="V46" s="147"/>
      <c r="W46" s="147">
        <f>SUM(W47:Y49)</f>
        <v>0</v>
      </c>
      <c r="X46" s="147"/>
      <c r="Y46" s="147"/>
      <c r="Z46" s="45">
        <f>W46/W102</f>
        <v>0</v>
      </c>
      <c r="AA46" s="148">
        <f>SUM(AA47:AB49)</f>
        <v>77211.740000000005</v>
      </c>
      <c r="AB46" s="148"/>
    </row>
    <row r="47" spans="1:28" x14ac:dyDescent="0.25">
      <c r="A47" s="46" t="s">
        <v>46</v>
      </c>
      <c r="B47" s="154">
        <v>3414.91</v>
      </c>
      <c r="C47" s="154"/>
      <c r="D47" s="154"/>
      <c r="E47" s="82">
        <v>0</v>
      </c>
      <c r="F47" s="83"/>
      <c r="G47" s="84"/>
      <c r="H47" s="82">
        <v>0</v>
      </c>
      <c r="I47" s="83"/>
      <c r="J47" s="84"/>
      <c r="K47" s="82">
        <v>0</v>
      </c>
      <c r="L47" s="83"/>
      <c r="M47" s="84"/>
      <c r="N47" s="82">
        <v>0</v>
      </c>
      <c r="O47" s="83"/>
      <c r="P47" s="84"/>
      <c r="Q47" s="82">
        <v>0</v>
      </c>
      <c r="R47" s="83"/>
      <c r="S47" s="84"/>
      <c r="T47" s="82">
        <v>0</v>
      </c>
      <c r="U47" s="83"/>
      <c r="V47" s="84"/>
      <c r="W47" s="149">
        <f>0+E47+H47+K47+N47+Q47+T47</f>
        <v>0</v>
      </c>
      <c r="X47" s="149"/>
      <c r="Y47" s="149"/>
      <c r="Z47" s="47">
        <f>W47/W102</f>
        <v>0</v>
      </c>
      <c r="AA47" s="150">
        <f>3414.91+W47</f>
        <v>3414.91</v>
      </c>
      <c r="AB47" s="150"/>
    </row>
    <row r="48" spans="1:28" x14ac:dyDescent="0.25">
      <c r="A48" s="46" t="s">
        <v>47</v>
      </c>
      <c r="B48" s="149">
        <v>11615.83</v>
      </c>
      <c r="C48" s="149"/>
      <c r="D48" s="149"/>
      <c r="E48" s="82">
        <v>0</v>
      </c>
      <c r="F48" s="83"/>
      <c r="G48" s="84"/>
      <c r="H48" s="82">
        <v>0</v>
      </c>
      <c r="I48" s="83"/>
      <c r="J48" s="84"/>
      <c r="K48" s="82">
        <v>0</v>
      </c>
      <c r="L48" s="83"/>
      <c r="M48" s="84"/>
      <c r="N48" s="82">
        <v>0</v>
      </c>
      <c r="O48" s="83"/>
      <c r="P48" s="84"/>
      <c r="Q48" s="82">
        <v>0</v>
      </c>
      <c r="R48" s="83"/>
      <c r="S48" s="84"/>
      <c r="T48" s="82">
        <v>0</v>
      </c>
      <c r="U48" s="83"/>
      <c r="V48" s="84"/>
      <c r="W48" s="149">
        <f t="shared" ref="W48:W49" si="2">0+E48+H48+K48+N48+Q48+T48</f>
        <v>0</v>
      </c>
      <c r="X48" s="149"/>
      <c r="Y48" s="149"/>
      <c r="Z48" s="47">
        <f>W48/W102</f>
        <v>0</v>
      </c>
      <c r="AA48" s="150">
        <f>11615.83+W48</f>
        <v>11615.83</v>
      </c>
      <c r="AB48" s="150"/>
    </row>
    <row r="49" spans="1:28" x14ac:dyDescent="0.25">
      <c r="A49" s="46" t="s">
        <v>48</v>
      </c>
      <c r="B49" s="149">
        <v>62181</v>
      </c>
      <c r="C49" s="149"/>
      <c r="D49" s="149"/>
      <c r="E49" s="82">
        <v>0</v>
      </c>
      <c r="F49" s="83"/>
      <c r="G49" s="84"/>
      <c r="H49" s="82">
        <v>0</v>
      </c>
      <c r="I49" s="83"/>
      <c r="J49" s="84"/>
      <c r="K49" s="82">
        <v>0</v>
      </c>
      <c r="L49" s="83"/>
      <c r="M49" s="84"/>
      <c r="N49" s="82">
        <v>0</v>
      </c>
      <c r="O49" s="83"/>
      <c r="P49" s="84"/>
      <c r="Q49" s="82">
        <v>0</v>
      </c>
      <c r="R49" s="83"/>
      <c r="S49" s="84"/>
      <c r="T49" s="82">
        <v>0</v>
      </c>
      <c r="U49" s="83"/>
      <c r="V49" s="84"/>
      <c r="W49" s="149">
        <f t="shared" si="2"/>
        <v>0</v>
      </c>
      <c r="X49" s="149"/>
      <c r="Y49" s="149"/>
      <c r="Z49" s="47">
        <f>W49/W102</f>
        <v>0</v>
      </c>
      <c r="AA49" s="150">
        <f>62181+W49</f>
        <v>62181</v>
      </c>
      <c r="AB49" s="150"/>
    </row>
    <row r="50" spans="1:28" x14ac:dyDescent="0.25">
      <c r="A50" s="44" t="s">
        <v>49</v>
      </c>
      <c r="B50" s="147">
        <f>SUM(B51:D62)</f>
        <v>241215.44999999998</v>
      </c>
      <c r="C50" s="147"/>
      <c r="D50" s="147"/>
      <c r="E50" s="147">
        <f>SUM(E51:G62)</f>
        <v>3895.7200000000003</v>
      </c>
      <c r="F50" s="147"/>
      <c r="G50" s="147"/>
      <c r="H50" s="147">
        <f>SUM(H51:J62)</f>
        <v>3671.7200000000003</v>
      </c>
      <c r="I50" s="147"/>
      <c r="J50" s="147"/>
      <c r="K50" s="147">
        <f>SUM(K51:M62)</f>
        <v>3677.12</v>
      </c>
      <c r="L50" s="147"/>
      <c r="M50" s="147"/>
      <c r="N50" s="147">
        <f>SUM(N51:P62)</f>
        <v>3721.62</v>
      </c>
      <c r="O50" s="147"/>
      <c r="P50" s="147"/>
      <c r="Q50" s="147">
        <f>SUM(Q51:S62)</f>
        <v>4178.0200000000004</v>
      </c>
      <c r="R50" s="147"/>
      <c r="S50" s="147"/>
      <c r="T50" s="147">
        <f>SUM(T51:V62)</f>
        <v>3677.57</v>
      </c>
      <c r="U50" s="147"/>
      <c r="V50" s="147"/>
      <c r="W50" s="147">
        <f>SUM(W51:Y62)</f>
        <v>22821.77</v>
      </c>
      <c r="X50" s="147"/>
      <c r="Y50" s="147"/>
      <c r="Z50" s="45">
        <f>W50/W102</f>
        <v>6.2295242792300629E-2</v>
      </c>
      <c r="AA50" s="148">
        <f>SUM(AA51:AB62)</f>
        <v>264037.21999999997</v>
      </c>
      <c r="AB50" s="148"/>
    </row>
    <row r="51" spans="1:28" x14ac:dyDescent="0.25">
      <c r="A51" s="49" t="s">
        <v>50</v>
      </c>
      <c r="B51" s="149">
        <v>28211.279999999999</v>
      </c>
      <c r="C51" s="149"/>
      <c r="D51" s="149"/>
      <c r="E51" s="82">
        <v>0</v>
      </c>
      <c r="F51" s="83"/>
      <c r="G51" s="84"/>
      <c r="H51" s="82">
        <v>0</v>
      </c>
      <c r="I51" s="83"/>
      <c r="J51" s="84"/>
      <c r="K51" s="82">
        <v>0</v>
      </c>
      <c r="L51" s="83"/>
      <c r="M51" s="84"/>
      <c r="N51" s="82">
        <v>0</v>
      </c>
      <c r="O51" s="83"/>
      <c r="P51" s="84"/>
      <c r="Q51" s="82">
        <v>0</v>
      </c>
      <c r="R51" s="83"/>
      <c r="S51" s="84"/>
      <c r="T51" s="82">
        <v>0</v>
      </c>
      <c r="U51" s="83"/>
      <c r="V51" s="84"/>
      <c r="W51" s="149">
        <f>0+E51+H51+K51+N51+Q51+T51</f>
        <v>0</v>
      </c>
      <c r="X51" s="149"/>
      <c r="Y51" s="149"/>
      <c r="Z51" s="47">
        <f>W51/W102</f>
        <v>0</v>
      </c>
      <c r="AA51" s="150">
        <f>28211.28+W51</f>
        <v>28211.279999999999</v>
      </c>
      <c r="AB51" s="150"/>
    </row>
    <row r="52" spans="1:28" x14ac:dyDescent="0.25">
      <c r="A52" s="46" t="s">
        <v>51</v>
      </c>
      <c r="B52" s="149">
        <v>9340</v>
      </c>
      <c r="C52" s="149"/>
      <c r="D52" s="149"/>
      <c r="E52" s="82">
        <v>0</v>
      </c>
      <c r="F52" s="83"/>
      <c r="G52" s="84"/>
      <c r="H52" s="82">
        <v>0</v>
      </c>
      <c r="I52" s="83"/>
      <c r="J52" s="84"/>
      <c r="K52" s="82">
        <v>0</v>
      </c>
      <c r="L52" s="83"/>
      <c r="M52" s="84"/>
      <c r="N52" s="82">
        <v>0</v>
      </c>
      <c r="O52" s="83"/>
      <c r="P52" s="84"/>
      <c r="Q52" s="82">
        <v>0</v>
      </c>
      <c r="R52" s="83"/>
      <c r="S52" s="84"/>
      <c r="T52" s="82">
        <v>0</v>
      </c>
      <c r="U52" s="83"/>
      <c r="V52" s="84"/>
      <c r="W52" s="149">
        <f t="shared" ref="W52:W62" si="3">0+E52+H52+K52+N52+Q52+T52</f>
        <v>0</v>
      </c>
      <c r="X52" s="149"/>
      <c r="Y52" s="149"/>
      <c r="Z52" s="47">
        <f>W52/W102</f>
        <v>0</v>
      </c>
      <c r="AA52" s="150">
        <f>9340+W52</f>
        <v>9340</v>
      </c>
      <c r="AB52" s="150"/>
    </row>
    <row r="53" spans="1:28" x14ac:dyDescent="0.25">
      <c r="A53" s="46" t="s">
        <v>52</v>
      </c>
      <c r="B53" s="149">
        <v>16890</v>
      </c>
      <c r="C53" s="149"/>
      <c r="D53" s="149"/>
      <c r="E53" s="82">
        <f>450</f>
        <v>450</v>
      </c>
      <c r="F53" s="83"/>
      <c r="G53" s="84"/>
      <c r="H53" s="82">
        <f>450</f>
        <v>450</v>
      </c>
      <c r="I53" s="83"/>
      <c r="J53" s="84"/>
      <c r="K53" s="82">
        <f>450</f>
        <v>450</v>
      </c>
      <c r="L53" s="83"/>
      <c r="M53" s="84"/>
      <c r="N53" s="82">
        <f>450</f>
        <v>450</v>
      </c>
      <c r="O53" s="83"/>
      <c r="P53" s="84"/>
      <c r="Q53" s="82">
        <f>450</f>
        <v>450</v>
      </c>
      <c r="R53" s="83"/>
      <c r="S53" s="84"/>
      <c r="T53" s="82">
        <f>450</f>
        <v>450</v>
      </c>
      <c r="U53" s="83"/>
      <c r="V53" s="84"/>
      <c r="W53" s="149">
        <f t="shared" si="3"/>
        <v>2700</v>
      </c>
      <c r="X53" s="149"/>
      <c r="Y53" s="149"/>
      <c r="Z53" s="47">
        <f>W53/W102</f>
        <v>7.3700311386545253E-3</v>
      </c>
      <c r="AA53" s="150">
        <f>16890+W53</f>
        <v>19590</v>
      </c>
      <c r="AB53" s="150"/>
    </row>
    <row r="54" spans="1:28" x14ac:dyDescent="0.25">
      <c r="A54" s="46" t="s">
        <v>53</v>
      </c>
      <c r="B54" s="149">
        <v>43576.7</v>
      </c>
      <c r="C54" s="149"/>
      <c r="D54" s="149"/>
      <c r="E54" s="82">
        <v>0</v>
      </c>
      <c r="F54" s="83"/>
      <c r="G54" s="84"/>
      <c r="H54" s="82">
        <v>0</v>
      </c>
      <c r="I54" s="83"/>
      <c r="J54" s="84"/>
      <c r="K54" s="82">
        <v>0</v>
      </c>
      <c r="L54" s="83"/>
      <c r="M54" s="84"/>
      <c r="N54" s="82">
        <v>0</v>
      </c>
      <c r="O54" s="83"/>
      <c r="P54" s="84"/>
      <c r="Q54" s="82">
        <v>0</v>
      </c>
      <c r="R54" s="83"/>
      <c r="S54" s="84"/>
      <c r="T54" s="82">
        <v>0</v>
      </c>
      <c r="U54" s="83"/>
      <c r="V54" s="84"/>
      <c r="W54" s="149">
        <f t="shared" si="3"/>
        <v>0</v>
      </c>
      <c r="X54" s="149"/>
      <c r="Y54" s="149"/>
      <c r="Z54" s="47">
        <f>W54/W102</f>
        <v>0</v>
      </c>
      <c r="AA54" s="150">
        <f>43576.7+W54</f>
        <v>43576.7</v>
      </c>
      <c r="AB54" s="150"/>
    </row>
    <row r="55" spans="1:28" x14ac:dyDescent="0.25">
      <c r="A55" s="46" t="s">
        <v>54</v>
      </c>
      <c r="B55" s="149">
        <v>96857.71</v>
      </c>
      <c r="C55" s="149"/>
      <c r="D55" s="149"/>
      <c r="E55" s="82">
        <f>2722.05</f>
        <v>2722.05</v>
      </c>
      <c r="F55" s="83"/>
      <c r="G55" s="84"/>
      <c r="H55" s="82">
        <f>2713.05</f>
        <v>2713.05</v>
      </c>
      <c r="I55" s="83"/>
      <c r="J55" s="84"/>
      <c r="K55" s="82">
        <f>2718.45</f>
        <v>2718.45</v>
      </c>
      <c r="L55" s="83"/>
      <c r="M55" s="84"/>
      <c r="N55" s="82">
        <f>2722.95</f>
        <v>2722.95</v>
      </c>
      <c r="O55" s="83"/>
      <c r="P55" s="84"/>
      <c r="Q55" s="82">
        <f>2719.35</f>
        <v>2719.35</v>
      </c>
      <c r="R55" s="83"/>
      <c r="S55" s="84"/>
      <c r="T55" s="82">
        <f>2718.9</f>
        <v>2718.9</v>
      </c>
      <c r="U55" s="83"/>
      <c r="V55" s="84"/>
      <c r="W55" s="149">
        <f t="shared" si="3"/>
        <v>16314.75</v>
      </c>
      <c r="X55" s="149"/>
      <c r="Y55" s="149"/>
      <c r="Z55" s="47">
        <f>W55/W102</f>
        <v>4.4533413155319973E-2</v>
      </c>
      <c r="AA55" s="150">
        <f>96857.71+W55</f>
        <v>113172.46</v>
      </c>
      <c r="AB55" s="150"/>
    </row>
    <row r="56" spans="1:28" x14ac:dyDescent="0.25">
      <c r="A56" s="46" t="s">
        <v>55</v>
      </c>
      <c r="B56" s="149">
        <v>9150.25</v>
      </c>
      <c r="C56" s="149"/>
      <c r="D56" s="149"/>
      <c r="E56" s="82">
        <f>293.67</f>
        <v>293.67</v>
      </c>
      <c r="F56" s="83"/>
      <c r="G56" s="84"/>
      <c r="H56" s="82">
        <f>293.67</f>
        <v>293.67</v>
      </c>
      <c r="I56" s="83"/>
      <c r="J56" s="84"/>
      <c r="K56" s="82">
        <f>293.67</f>
        <v>293.67</v>
      </c>
      <c r="L56" s="83"/>
      <c r="M56" s="84"/>
      <c r="N56" s="82">
        <f>293.67</f>
        <v>293.67</v>
      </c>
      <c r="O56" s="83"/>
      <c r="P56" s="84"/>
      <c r="Q56" s="82">
        <f>293.67</f>
        <v>293.67</v>
      </c>
      <c r="R56" s="83"/>
      <c r="S56" s="84"/>
      <c r="T56" s="82">
        <f>293.67</f>
        <v>293.67</v>
      </c>
      <c r="U56" s="83"/>
      <c r="V56" s="84"/>
      <c r="W56" s="149">
        <f t="shared" si="3"/>
        <v>1762.0200000000002</v>
      </c>
      <c r="X56" s="149"/>
      <c r="Y56" s="149"/>
      <c r="Z56" s="47">
        <f>W56/W102</f>
        <v>4.8096823210859443E-3</v>
      </c>
      <c r="AA56" s="150">
        <f>9150.25+W56</f>
        <v>10912.27</v>
      </c>
      <c r="AB56" s="150"/>
    </row>
    <row r="57" spans="1:28" x14ac:dyDescent="0.25">
      <c r="A57" s="46" t="s">
        <v>56</v>
      </c>
      <c r="B57" s="149">
        <v>2618.94</v>
      </c>
      <c r="C57" s="149"/>
      <c r="D57" s="149"/>
      <c r="E57" s="82">
        <f>215+215</f>
        <v>430</v>
      </c>
      <c r="F57" s="83"/>
      <c r="G57" s="84"/>
      <c r="H57" s="82">
        <f>215</f>
        <v>215</v>
      </c>
      <c r="I57" s="83"/>
      <c r="J57" s="84"/>
      <c r="K57" s="82">
        <f>215</f>
        <v>215</v>
      </c>
      <c r="L57" s="83"/>
      <c r="M57" s="84"/>
      <c r="N57" s="82">
        <f>215</f>
        <v>215</v>
      </c>
      <c r="O57" s="83"/>
      <c r="P57" s="84"/>
      <c r="Q57" s="82">
        <f>215</f>
        <v>215</v>
      </c>
      <c r="R57" s="83"/>
      <c r="S57" s="84"/>
      <c r="T57" s="82">
        <f>215</f>
        <v>215</v>
      </c>
      <c r="U57" s="83"/>
      <c r="V57" s="84"/>
      <c r="W57" s="149">
        <f t="shared" si="3"/>
        <v>1505</v>
      </c>
      <c r="X57" s="149"/>
      <c r="Y57" s="149"/>
      <c r="Z57" s="47">
        <f>W57/W102</f>
        <v>4.1081099495092815E-3</v>
      </c>
      <c r="AA57" s="150">
        <f>2618.94+W57</f>
        <v>4123.9400000000005</v>
      </c>
      <c r="AB57" s="150"/>
    </row>
    <row r="58" spans="1:28" x14ac:dyDescent="0.25">
      <c r="A58" s="46" t="s">
        <v>57</v>
      </c>
      <c r="B58" s="149">
        <v>25282.46</v>
      </c>
      <c r="C58" s="149"/>
      <c r="D58" s="149"/>
      <c r="E58" s="82">
        <v>0</v>
      </c>
      <c r="F58" s="83"/>
      <c r="G58" s="84"/>
      <c r="H58" s="82">
        <v>0</v>
      </c>
      <c r="I58" s="83"/>
      <c r="J58" s="84"/>
      <c r="K58" s="82">
        <v>0</v>
      </c>
      <c r="L58" s="83"/>
      <c r="M58" s="84"/>
      <c r="N58" s="82">
        <v>0</v>
      </c>
      <c r="O58" s="83"/>
      <c r="P58" s="84"/>
      <c r="Q58" s="82">
        <f>500</f>
        <v>500</v>
      </c>
      <c r="R58" s="83"/>
      <c r="S58" s="84"/>
      <c r="T58" s="82">
        <v>0</v>
      </c>
      <c r="U58" s="83"/>
      <c r="V58" s="84"/>
      <c r="W58" s="149">
        <f t="shared" si="3"/>
        <v>500</v>
      </c>
      <c r="X58" s="149"/>
      <c r="Y58" s="149"/>
      <c r="Z58" s="47">
        <f>W58/W102</f>
        <v>1.3648205812323195E-3</v>
      </c>
      <c r="AA58" s="150">
        <f>25282.46+W58</f>
        <v>25782.46</v>
      </c>
      <c r="AB58" s="150"/>
    </row>
    <row r="59" spans="1:28" x14ac:dyDescent="0.25">
      <c r="A59" s="46" t="s">
        <v>58</v>
      </c>
      <c r="B59" s="149">
        <v>1500</v>
      </c>
      <c r="C59" s="149"/>
      <c r="D59" s="149"/>
      <c r="E59" s="82">
        <v>0</v>
      </c>
      <c r="F59" s="83"/>
      <c r="G59" s="84"/>
      <c r="H59" s="82">
        <v>0</v>
      </c>
      <c r="I59" s="83"/>
      <c r="J59" s="84"/>
      <c r="K59" s="82">
        <v>0</v>
      </c>
      <c r="L59" s="83"/>
      <c r="M59" s="84"/>
      <c r="N59" s="82">
        <v>0</v>
      </c>
      <c r="O59" s="83"/>
      <c r="P59" s="84"/>
      <c r="Q59" s="82">
        <v>0</v>
      </c>
      <c r="R59" s="83"/>
      <c r="S59" s="84"/>
      <c r="T59" s="82">
        <v>0</v>
      </c>
      <c r="U59" s="83"/>
      <c r="V59" s="84"/>
      <c r="W59" s="149">
        <f t="shared" si="3"/>
        <v>0</v>
      </c>
      <c r="X59" s="149"/>
      <c r="Y59" s="149"/>
      <c r="Z59" s="47">
        <f>W59/W102</f>
        <v>0</v>
      </c>
      <c r="AA59" s="150">
        <f>1500+W59</f>
        <v>1500</v>
      </c>
      <c r="AB59" s="150"/>
    </row>
    <row r="60" spans="1:28" x14ac:dyDescent="0.25">
      <c r="A60" s="46" t="s">
        <v>59</v>
      </c>
      <c r="B60" s="149">
        <v>5618.11</v>
      </c>
      <c r="C60" s="149"/>
      <c r="D60" s="149"/>
      <c r="E60" s="82">
        <v>0</v>
      </c>
      <c r="F60" s="83"/>
      <c r="G60" s="84"/>
      <c r="H60" s="82">
        <v>0</v>
      </c>
      <c r="I60" s="83"/>
      <c r="J60" s="84"/>
      <c r="K60" s="82">
        <v>0</v>
      </c>
      <c r="L60" s="83"/>
      <c r="M60" s="84"/>
      <c r="N60" s="82">
        <v>0</v>
      </c>
      <c r="O60" s="83"/>
      <c r="P60" s="84"/>
      <c r="Q60" s="82">
        <v>0</v>
      </c>
      <c r="R60" s="83"/>
      <c r="S60" s="84"/>
      <c r="T60" s="82">
        <v>0</v>
      </c>
      <c r="U60" s="83"/>
      <c r="V60" s="84"/>
      <c r="W60" s="149">
        <f t="shared" si="3"/>
        <v>0</v>
      </c>
      <c r="X60" s="149"/>
      <c r="Y60" s="149"/>
      <c r="Z60" s="47">
        <f>W60/W102</f>
        <v>0</v>
      </c>
      <c r="AA60" s="150">
        <f>5618.11+W60</f>
        <v>5618.11</v>
      </c>
      <c r="AB60" s="150"/>
    </row>
    <row r="61" spans="1:28" x14ac:dyDescent="0.25">
      <c r="A61" s="46" t="s">
        <v>60</v>
      </c>
      <c r="B61" s="149">
        <v>0</v>
      </c>
      <c r="C61" s="149"/>
      <c r="D61" s="149"/>
      <c r="E61" s="82">
        <v>0</v>
      </c>
      <c r="F61" s="83"/>
      <c r="G61" s="84"/>
      <c r="H61" s="82">
        <v>0</v>
      </c>
      <c r="I61" s="83"/>
      <c r="J61" s="84"/>
      <c r="K61" s="82">
        <v>0</v>
      </c>
      <c r="L61" s="83"/>
      <c r="M61" s="84"/>
      <c r="N61" s="82">
        <f>40</f>
        <v>40</v>
      </c>
      <c r="O61" s="83"/>
      <c r="P61" s="84"/>
      <c r="Q61" s="82">
        <v>0</v>
      </c>
      <c r="R61" s="83"/>
      <c r="S61" s="84"/>
      <c r="T61" s="82">
        <v>0</v>
      </c>
      <c r="U61" s="83"/>
      <c r="V61" s="84"/>
      <c r="W61" s="149">
        <f t="shared" si="3"/>
        <v>40</v>
      </c>
      <c r="X61" s="149"/>
      <c r="Y61" s="149"/>
      <c r="Z61" s="47">
        <f>W61/W102</f>
        <v>1.0918564649858556E-4</v>
      </c>
      <c r="AA61" s="150">
        <f t="shared" ref="AA61" si="4">0+W61</f>
        <v>40</v>
      </c>
      <c r="AB61" s="150"/>
    </row>
    <row r="62" spans="1:28" x14ac:dyDescent="0.25">
      <c r="A62" s="46" t="s">
        <v>61</v>
      </c>
      <c r="B62" s="149">
        <v>2170</v>
      </c>
      <c r="C62" s="149"/>
      <c r="D62" s="149"/>
      <c r="E62" s="82">
        <v>0</v>
      </c>
      <c r="F62" s="83"/>
      <c r="G62" s="84"/>
      <c r="H62" s="82">
        <v>0</v>
      </c>
      <c r="I62" s="83"/>
      <c r="J62" s="84"/>
      <c r="K62" s="82">
        <v>0</v>
      </c>
      <c r="L62" s="83"/>
      <c r="M62" s="84"/>
      <c r="N62" s="82">
        <v>0</v>
      </c>
      <c r="O62" s="83"/>
      <c r="P62" s="84"/>
      <c r="Q62" s="82">
        <v>0</v>
      </c>
      <c r="R62" s="83"/>
      <c r="S62" s="84"/>
      <c r="T62" s="82">
        <v>0</v>
      </c>
      <c r="U62" s="83"/>
      <c r="V62" s="84"/>
      <c r="W62" s="149">
        <f t="shared" si="3"/>
        <v>0</v>
      </c>
      <c r="X62" s="149"/>
      <c r="Y62" s="149"/>
      <c r="Z62" s="47">
        <f>W62/W102</f>
        <v>0</v>
      </c>
      <c r="AA62" s="150">
        <f>2170+W62</f>
        <v>2170</v>
      </c>
      <c r="AB62" s="150"/>
    </row>
    <row r="63" spans="1:28" x14ac:dyDescent="0.25">
      <c r="A63" s="44" t="s">
        <v>62</v>
      </c>
      <c r="B63" s="147">
        <f>SUM(B64:D67)</f>
        <v>192764.56999999998</v>
      </c>
      <c r="C63" s="147"/>
      <c r="D63" s="147"/>
      <c r="E63" s="144">
        <f>SUM(E64:G67)</f>
        <v>13428.149999999998</v>
      </c>
      <c r="F63" s="145"/>
      <c r="G63" s="146"/>
      <c r="H63" s="144">
        <f>SUM(H64:J67)</f>
        <v>12011.390000000001</v>
      </c>
      <c r="I63" s="145"/>
      <c r="J63" s="146"/>
      <c r="K63" s="144">
        <f>SUM(K64:M67)</f>
        <v>1386.5400000000002</v>
      </c>
      <c r="L63" s="145"/>
      <c r="M63" s="146"/>
      <c r="N63" s="144">
        <f>SUM(N64:P67)</f>
        <v>13324.27</v>
      </c>
      <c r="O63" s="145"/>
      <c r="P63" s="146"/>
      <c r="Q63" s="144">
        <f>SUM(Q64:S67)</f>
        <v>3314.84</v>
      </c>
      <c r="R63" s="145"/>
      <c r="S63" s="146"/>
      <c r="T63" s="144">
        <f>SUM(T64:V67)</f>
        <v>12706.07</v>
      </c>
      <c r="U63" s="145"/>
      <c r="V63" s="146"/>
      <c r="W63" s="155">
        <f>SUM(W64:Y67)</f>
        <v>56171.259999999995</v>
      </c>
      <c r="X63" s="156"/>
      <c r="Y63" s="157"/>
      <c r="Z63" s="45">
        <f>W63/W102</f>
        <v>0.15332738344350347</v>
      </c>
      <c r="AA63" s="148">
        <f>SUM(AA64:AB67)</f>
        <v>248935.83000000002</v>
      </c>
      <c r="AB63" s="148"/>
    </row>
    <row r="64" spans="1:28" x14ac:dyDescent="0.25">
      <c r="A64" s="46" t="s">
        <v>63</v>
      </c>
      <c r="B64" s="149">
        <v>120948.56</v>
      </c>
      <c r="C64" s="149"/>
      <c r="D64" s="149"/>
      <c r="E64" s="82">
        <f>9.5+9.5+39.8+9.5+11623.59+3.98+42+1+1+9.5</f>
        <v>11749.369999999999</v>
      </c>
      <c r="F64" s="83"/>
      <c r="G64" s="84"/>
      <c r="H64" s="82">
        <f>89.55+9.5+9.5+45.77+42+11502.2+27.86</f>
        <v>11726.380000000001</v>
      </c>
      <c r="I64" s="83"/>
      <c r="J64" s="84"/>
      <c r="K64" s="82">
        <f>9.5+7.96+9.5+9.5+9.5+11.94+145.27+9.5+250.74+42+1.99+9.5</f>
        <v>516.90000000000009</v>
      </c>
      <c r="L64" s="83"/>
      <c r="M64" s="84"/>
      <c r="N64" s="82">
        <f>11851.69</f>
        <v>11851.69</v>
      </c>
      <c r="O64" s="83"/>
      <c r="P64" s="84"/>
      <c r="Q64" s="82">
        <f>9.95+10+10+15.92+36.5+10+13.93+69.65</f>
        <v>175.95000000000002</v>
      </c>
      <c r="R64" s="83"/>
      <c r="S64" s="84"/>
      <c r="T64" s="82">
        <f>1.99+7.96+10+1.99+10+1.99+1.99+10+10+11589.76+3.98</f>
        <v>11649.66</v>
      </c>
      <c r="U64" s="83"/>
      <c r="V64" s="84"/>
      <c r="W64" s="149">
        <f>0+E64+H64+K64+N64+Q64+T64</f>
        <v>47669.95</v>
      </c>
      <c r="X64" s="149"/>
      <c r="Y64" s="149"/>
      <c r="Z64" s="47">
        <f>W64/W102</f>
        <v>0.13012185773263121</v>
      </c>
      <c r="AA64" s="150">
        <f>120948.56+W64</f>
        <v>168618.51</v>
      </c>
      <c r="AB64" s="150"/>
    </row>
    <row r="65" spans="1:28" x14ac:dyDescent="0.25">
      <c r="A65" s="46" t="s">
        <v>64</v>
      </c>
      <c r="B65" s="149">
        <v>47642.8</v>
      </c>
      <c r="C65" s="149"/>
      <c r="D65" s="149"/>
      <c r="E65" s="82">
        <f>77.46+240.13+70.87+219.71+77.46+70.87+240.13+219.71+203.66+203.66</f>
        <v>1623.66</v>
      </c>
      <c r="F65" s="83"/>
      <c r="G65" s="84"/>
      <c r="H65" s="82">
        <f>113.42+94.16</f>
        <v>207.57999999999998</v>
      </c>
      <c r="I65" s="83"/>
      <c r="J65" s="84"/>
      <c r="K65" s="82">
        <f>67.5+77.46+209.25+159.05+252.91</f>
        <v>766.17</v>
      </c>
      <c r="L65" s="83"/>
      <c r="M65" s="84"/>
      <c r="N65" s="82">
        <f>240.13+209.25+77.46+67.5+252.91</f>
        <v>847.25</v>
      </c>
      <c r="O65" s="83"/>
      <c r="P65" s="84"/>
      <c r="Q65" s="82">
        <f>209.25+67.5+240.13+77.46+252.91</f>
        <v>847.25</v>
      </c>
      <c r="R65" s="83"/>
      <c r="S65" s="84"/>
      <c r="T65" s="82">
        <f>67.5+209.25+77.46+240.13+56.2+97.25+210.76</f>
        <v>958.55</v>
      </c>
      <c r="U65" s="83"/>
      <c r="V65" s="84"/>
      <c r="W65" s="149">
        <f>0+E65+H65+K65+N65+Q65+T65</f>
        <v>5250.46</v>
      </c>
      <c r="X65" s="149"/>
      <c r="Y65" s="149"/>
      <c r="Z65" s="47">
        <f>W65/W102</f>
        <v>1.4331871737874089E-2</v>
      </c>
      <c r="AA65" s="150">
        <f>47642.8+W65</f>
        <v>52893.26</v>
      </c>
      <c r="AB65" s="150"/>
    </row>
    <row r="66" spans="1:28" x14ac:dyDescent="0.25">
      <c r="A66" s="46" t="s">
        <v>65</v>
      </c>
      <c r="B66" s="149">
        <v>24147.84</v>
      </c>
      <c r="C66" s="149"/>
      <c r="D66" s="149"/>
      <c r="E66" s="82">
        <f>48.46</f>
        <v>48.46</v>
      </c>
      <c r="F66" s="83"/>
      <c r="G66" s="84"/>
      <c r="H66" s="82">
        <f>72.49</f>
        <v>72.489999999999995</v>
      </c>
      <c r="I66" s="83"/>
      <c r="J66" s="84"/>
      <c r="K66" s="82">
        <f>103.47</f>
        <v>103.47</v>
      </c>
      <c r="L66" s="83"/>
      <c r="M66" s="84"/>
      <c r="N66" s="82">
        <f>163</f>
        <v>163</v>
      </c>
      <c r="O66" s="83"/>
      <c r="P66" s="84"/>
      <c r="Q66" s="82">
        <f>808.1+1448.28+35.26</f>
        <v>2291.6400000000003</v>
      </c>
      <c r="R66" s="83"/>
      <c r="S66" s="84"/>
      <c r="T66" s="82">
        <f>97.86</f>
        <v>97.86</v>
      </c>
      <c r="U66" s="83"/>
      <c r="V66" s="84"/>
      <c r="W66" s="149">
        <f>0+E66+H66+K66+N66+Q66+T66</f>
        <v>2776.9200000000005</v>
      </c>
      <c r="X66" s="149"/>
      <c r="Y66" s="149"/>
      <c r="Z66" s="47">
        <f>W66/W102</f>
        <v>7.5799951368713068E-3</v>
      </c>
      <c r="AA66" s="150">
        <f>24147.84+W66</f>
        <v>26924.760000000002</v>
      </c>
      <c r="AB66" s="150"/>
    </row>
    <row r="67" spans="1:28" x14ac:dyDescent="0.25">
      <c r="A67" s="46" t="s">
        <v>66</v>
      </c>
      <c r="B67" s="149">
        <v>25.37</v>
      </c>
      <c r="C67" s="149"/>
      <c r="D67" s="149"/>
      <c r="E67" s="82">
        <f>6.66</f>
        <v>6.66</v>
      </c>
      <c r="F67" s="83"/>
      <c r="G67" s="84"/>
      <c r="H67" s="82">
        <f>1.37+1.09+2.48</f>
        <v>4.9399999999999995</v>
      </c>
      <c r="I67" s="83"/>
      <c r="J67" s="84"/>
      <c r="K67" s="82">
        <v>0</v>
      </c>
      <c r="L67" s="83"/>
      <c r="M67" s="84"/>
      <c r="N67" s="82">
        <f>462.33</f>
        <v>462.33</v>
      </c>
      <c r="O67" s="83"/>
      <c r="P67" s="84"/>
      <c r="Q67" s="82">
        <v>0</v>
      </c>
      <c r="R67" s="83"/>
      <c r="S67" s="84"/>
      <c r="T67" s="82">
        <v>0</v>
      </c>
      <c r="U67" s="83"/>
      <c r="V67" s="84"/>
      <c r="W67" s="149">
        <f>0+E67+H67+K67+N67+Q67+T67</f>
        <v>473.93</v>
      </c>
      <c r="X67" s="149"/>
      <c r="Y67" s="149"/>
      <c r="Z67" s="47">
        <f>W67/W102</f>
        <v>1.2936588361268664E-3</v>
      </c>
      <c r="AA67" s="150">
        <f>25.37+W67</f>
        <v>499.3</v>
      </c>
      <c r="AB67" s="150"/>
    </row>
    <row r="68" spans="1:28" x14ac:dyDescent="0.25">
      <c r="A68" s="44" t="s">
        <v>67</v>
      </c>
      <c r="B68" s="147">
        <f>SUM(B69:D82)</f>
        <v>379800.62</v>
      </c>
      <c r="C68" s="147"/>
      <c r="D68" s="147"/>
      <c r="E68" s="144">
        <f>SUM(E69:G82)</f>
        <v>11747.81</v>
      </c>
      <c r="F68" s="145"/>
      <c r="G68" s="146"/>
      <c r="H68" s="144">
        <f>SUM(H69:J82)</f>
        <v>9765.11</v>
      </c>
      <c r="I68" s="145"/>
      <c r="J68" s="146"/>
      <c r="K68" s="144">
        <f>SUM(K69:M82)</f>
        <v>11378.32</v>
      </c>
      <c r="L68" s="145"/>
      <c r="M68" s="146"/>
      <c r="N68" s="144">
        <f>SUM(N69:P82)</f>
        <v>10209.619999999999</v>
      </c>
      <c r="O68" s="145"/>
      <c r="P68" s="146"/>
      <c r="Q68" s="144">
        <f>SUM(Q69:S82)</f>
        <v>10249.41</v>
      </c>
      <c r="R68" s="145"/>
      <c r="S68" s="146"/>
      <c r="T68" s="144">
        <f>SUM(T69:V82)</f>
        <v>10155.92</v>
      </c>
      <c r="U68" s="145"/>
      <c r="V68" s="146"/>
      <c r="W68" s="155">
        <f>SUM(W69:Y82)</f>
        <v>63506.189999999995</v>
      </c>
      <c r="X68" s="156"/>
      <c r="Y68" s="157"/>
      <c r="Z68" s="45">
        <f>W68/W102</f>
        <v>0.17334911029530023</v>
      </c>
      <c r="AA68" s="148">
        <f>SUM(AA69:AB82)</f>
        <v>443306.80999999994</v>
      </c>
      <c r="AB68" s="148"/>
    </row>
    <row r="69" spans="1:28" x14ac:dyDescent="0.25">
      <c r="A69" s="49" t="s">
        <v>68</v>
      </c>
      <c r="B69" s="149">
        <v>9608.91</v>
      </c>
      <c r="C69" s="149"/>
      <c r="D69" s="149"/>
      <c r="E69" s="82">
        <v>0</v>
      </c>
      <c r="F69" s="83"/>
      <c r="G69" s="84"/>
      <c r="H69" s="82">
        <v>0</v>
      </c>
      <c r="I69" s="83"/>
      <c r="J69" s="84"/>
      <c r="K69" s="82">
        <v>0</v>
      </c>
      <c r="L69" s="83"/>
      <c r="M69" s="84"/>
      <c r="N69" s="82">
        <v>0</v>
      </c>
      <c r="O69" s="83"/>
      <c r="P69" s="84"/>
      <c r="Q69" s="82">
        <v>0</v>
      </c>
      <c r="R69" s="83"/>
      <c r="S69" s="84"/>
      <c r="T69" s="82">
        <v>0</v>
      </c>
      <c r="U69" s="83"/>
      <c r="V69" s="84"/>
      <c r="W69" s="149">
        <f>0+E69+H69+K69+N69+Q69+T69</f>
        <v>0</v>
      </c>
      <c r="X69" s="149"/>
      <c r="Y69" s="149"/>
      <c r="Z69" s="47">
        <f>W69/W102</f>
        <v>0</v>
      </c>
      <c r="AA69" s="150">
        <f>9608.91+W69</f>
        <v>9608.91</v>
      </c>
      <c r="AB69" s="150"/>
    </row>
    <row r="70" spans="1:28" x14ac:dyDescent="0.25">
      <c r="A70" s="49" t="s">
        <v>69</v>
      </c>
      <c r="B70" s="149">
        <v>9110</v>
      </c>
      <c r="C70" s="149"/>
      <c r="D70" s="149"/>
      <c r="E70" s="82">
        <v>0</v>
      </c>
      <c r="F70" s="83"/>
      <c r="G70" s="84"/>
      <c r="H70" s="82">
        <v>0</v>
      </c>
      <c r="I70" s="83"/>
      <c r="J70" s="84"/>
      <c r="K70" s="82">
        <v>0</v>
      </c>
      <c r="L70" s="83"/>
      <c r="M70" s="84"/>
      <c r="N70" s="82">
        <v>0</v>
      </c>
      <c r="O70" s="83"/>
      <c r="P70" s="84"/>
      <c r="Q70" s="82">
        <v>0</v>
      </c>
      <c r="R70" s="83"/>
      <c r="S70" s="84"/>
      <c r="T70" s="82">
        <v>0</v>
      </c>
      <c r="U70" s="83"/>
      <c r="V70" s="84"/>
      <c r="W70" s="149">
        <f t="shared" ref="W70:W82" si="5">0+E70+H70+K70+N70+Q70+T70</f>
        <v>0</v>
      </c>
      <c r="X70" s="149"/>
      <c r="Y70" s="149"/>
      <c r="Z70" s="47">
        <f>W70/W102</f>
        <v>0</v>
      </c>
      <c r="AA70" s="150">
        <f>9110+W70</f>
        <v>9110</v>
      </c>
      <c r="AB70" s="150"/>
    </row>
    <row r="71" spans="1:28" x14ac:dyDescent="0.25">
      <c r="A71" s="49" t="s">
        <v>70</v>
      </c>
      <c r="B71" s="149">
        <v>4130.22</v>
      </c>
      <c r="C71" s="149"/>
      <c r="D71" s="149"/>
      <c r="E71" s="82">
        <f>271.63</f>
        <v>271.63</v>
      </c>
      <c r="F71" s="83"/>
      <c r="G71" s="84"/>
      <c r="H71" s="82">
        <f>271.63+1285.2</f>
        <v>1556.83</v>
      </c>
      <c r="I71" s="83"/>
      <c r="J71" s="84"/>
      <c r="K71" s="82">
        <f>271.63</f>
        <v>271.63</v>
      </c>
      <c r="L71" s="83"/>
      <c r="M71" s="84"/>
      <c r="N71" s="82">
        <v>0</v>
      </c>
      <c r="O71" s="83"/>
      <c r="P71" s="84"/>
      <c r="Q71" s="82">
        <v>0</v>
      </c>
      <c r="R71" s="83"/>
      <c r="S71" s="84"/>
      <c r="T71" s="82">
        <v>0</v>
      </c>
      <c r="U71" s="83"/>
      <c r="V71" s="84"/>
      <c r="W71" s="149">
        <f t="shared" si="5"/>
        <v>2100.09</v>
      </c>
      <c r="X71" s="149"/>
      <c r="Y71" s="149"/>
      <c r="Z71" s="47">
        <f>W71/W102</f>
        <v>5.7324921088803644E-3</v>
      </c>
      <c r="AA71" s="150">
        <f>4130.22+W71</f>
        <v>6230.31</v>
      </c>
      <c r="AB71" s="150"/>
    </row>
    <row r="72" spans="1:28" x14ac:dyDescent="0.25">
      <c r="A72" s="49" t="s">
        <v>71</v>
      </c>
      <c r="B72" s="76">
        <v>0</v>
      </c>
      <c r="C72" s="77"/>
      <c r="D72" s="78"/>
      <c r="E72" s="82">
        <v>0</v>
      </c>
      <c r="F72" s="83"/>
      <c r="G72" s="84"/>
      <c r="H72" s="82">
        <v>99</v>
      </c>
      <c r="I72" s="83"/>
      <c r="J72" s="84"/>
      <c r="K72" s="82">
        <v>0</v>
      </c>
      <c r="L72" s="83"/>
      <c r="M72" s="84"/>
      <c r="N72" s="82">
        <v>0</v>
      </c>
      <c r="O72" s="83"/>
      <c r="P72" s="84"/>
      <c r="Q72" s="82">
        <v>0</v>
      </c>
      <c r="R72" s="83"/>
      <c r="S72" s="84"/>
      <c r="T72" s="82">
        <v>0</v>
      </c>
      <c r="U72" s="83"/>
      <c r="V72" s="84"/>
      <c r="W72" s="149">
        <f t="shared" si="5"/>
        <v>99</v>
      </c>
      <c r="X72" s="149"/>
      <c r="Y72" s="149"/>
      <c r="Z72" s="47">
        <f>W72/W102</f>
        <v>2.7023447508399927E-4</v>
      </c>
      <c r="AA72" s="151">
        <f>0+W72</f>
        <v>99</v>
      </c>
      <c r="AB72" s="153"/>
    </row>
    <row r="73" spans="1:28" x14ac:dyDescent="0.25">
      <c r="A73" s="46" t="s">
        <v>72</v>
      </c>
      <c r="B73" s="149">
        <v>6043.01</v>
      </c>
      <c r="C73" s="149"/>
      <c r="D73" s="149"/>
      <c r="E73" s="82">
        <f>191.6+35.42</f>
        <v>227.01999999999998</v>
      </c>
      <c r="F73" s="83"/>
      <c r="G73" s="84"/>
      <c r="H73" s="82">
        <f>51.3</f>
        <v>51.3</v>
      </c>
      <c r="I73" s="83"/>
      <c r="J73" s="84"/>
      <c r="K73" s="82">
        <v>0</v>
      </c>
      <c r="L73" s="83"/>
      <c r="M73" s="84"/>
      <c r="N73" s="82">
        <v>0</v>
      </c>
      <c r="O73" s="83"/>
      <c r="P73" s="84"/>
      <c r="Q73" s="82">
        <f>43.8</f>
        <v>43.8</v>
      </c>
      <c r="R73" s="83"/>
      <c r="S73" s="84"/>
      <c r="T73" s="82">
        <v>0</v>
      </c>
      <c r="U73" s="83"/>
      <c r="V73" s="84"/>
      <c r="W73" s="149">
        <f t="shared" si="5"/>
        <v>322.12</v>
      </c>
      <c r="X73" s="149"/>
      <c r="Y73" s="149"/>
      <c r="Z73" s="47">
        <f>W73/W102</f>
        <v>8.7927201125310962E-4</v>
      </c>
      <c r="AA73" s="150">
        <f>6043.01+W73</f>
        <v>6365.13</v>
      </c>
      <c r="AB73" s="150"/>
    </row>
    <row r="74" spans="1:28" x14ac:dyDescent="0.25">
      <c r="A74" s="49" t="s">
        <v>73</v>
      </c>
      <c r="B74" s="149">
        <v>53374.36</v>
      </c>
      <c r="C74" s="149"/>
      <c r="D74" s="149"/>
      <c r="E74" s="82">
        <f>1263.86+290.51</f>
        <v>1554.37</v>
      </c>
      <c r="F74" s="83"/>
      <c r="G74" s="84"/>
      <c r="H74" s="82">
        <f>1413.96+54.44</f>
        <v>1468.4</v>
      </c>
      <c r="I74" s="83"/>
      <c r="J74" s="84"/>
      <c r="K74" s="82">
        <f>1413.96+54.26</f>
        <v>1468.22</v>
      </c>
      <c r="L74" s="83"/>
      <c r="M74" s="84"/>
      <c r="N74" s="82">
        <f>1414.91+54.37</f>
        <v>1469.28</v>
      </c>
      <c r="O74" s="83"/>
      <c r="P74" s="84"/>
      <c r="Q74" s="82">
        <f>1416.52+54.46</f>
        <v>1470.98</v>
      </c>
      <c r="R74" s="83"/>
      <c r="S74" s="84"/>
      <c r="T74" s="82">
        <f>1416.52+54.39</f>
        <v>1470.91</v>
      </c>
      <c r="U74" s="83"/>
      <c r="V74" s="84"/>
      <c r="W74" s="149">
        <f t="shared" si="5"/>
        <v>8902.16</v>
      </c>
      <c r="X74" s="149"/>
      <c r="Y74" s="149"/>
      <c r="Z74" s="47">
        <f>W74/W102</f>
        <v>2.4299702370846211E-2</v>
      </c>
      <c r="AA74" s="150">
        <f>53374.36+W74</f>
        <v>62276.520000000004</v>
      </c>
      <c r="AB74" s="150"/>
    </row>
    <row r="75" spans="1:28" x14ac:dyDescent="0.25">
      <c r="A75" s="49" t="s">
        <v>74</v>
      </c>
      <c r="B75" s="149">
        <v>13234.67</v>
      </c>
      <c r="C75" s="149"/>
      <c r="D75" s="149"/>
      <c r="E75" s="82">
        <f>114.99+49.99+154.41</f>
        <v>319.39</v>
      </c>
      <c r="F75" s="83"/>
      <c r="G75" s="84"/>
      <c r="H75" s="82">
        <f>114.99+49.99+155.27</f>
        <v>320.25</v>
      </c>
      <c r="I75" s="83"/>
      <c r="J75" s="84"/>
      <c r="K75" s="82">
        <f>49.99+114.99+149.34</f>
        <v>314.32</v>
      </c>
      <c r="L75" s="83"/>
      <c r="M75" s="84"/>
      <c r="N75" s="82">
        <f>52.23+114.99+116.06</f>
        <v>283.27999999999997</v>
      </c>
      <c r="O75" s="83"/>
      <c r="P75" s="84"/>
      <c r="Q75" s="82">
        <f>52.23+114.99</f>
        <v>167.22</v>
      </c>
      <c r="R75" s="83"/>
      <c r="S75" s="84"/>
      <c r="T75" s="82">
        <f>59.66+52.23+114.99</f>
        <v>226.88</v>
      </c>
      <c r="U75" s="83"/>
      <c r="V75" s="84"/>
      <c r="W75" s="149">
        <f t="shared" si="5"/>
        <v>1631.3400000000001</v>
      </c>
      <c r="X75" s="149"/>
      <c r="Y75" s="149"/>
      <c r="Z75" s="47">
        <f>W75/W102</f>
        <v>4.4529728139750648E-3</v>
      </c>
      <c r="AA75" s="150">
        <f>13234.67+W75</f>
        <v>14866.01</v>
      </c>
      <c r="AB75" s="150"/>
    </row>
    <row r="76" spans="1:28" x14ac:dyDescent="0.25">
      <c r="A76" s="49" t="s">
        <v>75</v>
      </c>
      <c r="B76" s="149">
        <v>7492.77</v>
      </c>
      <c r="C76" s="149"/>
      <c r="D76" s="149"/>
      <c r="E76" s="82">
        <f>23+11.39+23+23+11.39</f>
        <v>91.78</v>
      </c>
      <c r="F76" s="83"/>
      <c r="G76" s="84"/>
      <c r="H76" s="82">
        <f>10.8+23+23+26.9</f>
        <v>83.699999999999989</v>
      </c>
      <c r="I76" s="83"/>
      <c r="J76" s="84"/>
      <c r="K76" s="82">
        <f>23+23</f>
        <v>46</v>
      </c>
      <c r="L76" s="83"/>
      <c r="M76" s="84"/>
      <c r="N76" s="82">
        <v>0</v>
      </c>
      <c r="O76" s="83"/>
      <c r="P76" s="84"/>
      <c r="Q76" s="82">
        <v>0</v>
      </c>
      <c r="R76" s="83"/>
      <c r="S76" s="84"/>
      <c r="T76" s="82">
        <v>0</v>
      </c>
      <c r="U76" s="83"/>
      <c r="V76" s="84"/>
      <c r="W76" s="149">
        <f t="shared" si="5"/>
        <v>221.48</v>
      </c>
      <c r="X76" s="149"/>
      <c r="Y76" s="149"/>
      <c r="Z76" s="47">
        <f>W76/W102</f>
        <v>6.0456092466266824E-4</v>
      </c>
      <c r="AA76" s="150">
        <f>7492.77+W76</f>
        <v>7714.25</v>
      </c>
      <c r="AB76" s="150"/>
    </row>
    <row r="77" spans="1:28" x14ac:dyDescent="0.25">
      <c r="A77" s="49" t="s">
        <v>76</v>
      </c>
      <c r="B77" s="149">
        <v>4171.6000000000004</v>
      </c>
      <c r="C77" s="149"/>
      <c r="D77" s="149"/>
      <c r="E77" s="82">
        <v>0</v>
      </c>
      <c r="F77" s="83"/>
      <c r="G77" s="84"/>
      <c r="H77" s="82">
        <v>0</v>
      </c>
      <c r="I77" s="83"/>
      <c r="J77" s="84"/>
      <c r="K77" s="82">
        <v>0</v>
      </c>
      <c r="L77" s="83"/>
      <c r="M77" s="84"/>
      <c r="N77" s="82">
        <v>0</v>
      </c>
      <c r="O77" s="83"/>
      <c r="P77" s="84"/>
      <c r="Q77" s="82">
        <v>0</v>
      </c>
      <c r="R77" s="83"/>
      <c r="S77" s="84"/>
      <c r="T77" s="82">
        <v>0</v>
      </c>
      <c r="U77" s="83"/>
      <c r="V77" s="84"/>
      <c r="W77" s="149">
        <f t="shared" si="5"/>
        <v>0</v>
      </c>
      <c r="X77" s="149"/>
      <c r="Y77" s="149"/>
      <c r="Z77" s="47">
        <f>W77/W102</f>
        <v>0</v>
      </c>
      <c r="AA77" s="150">
        <f>4171.6+W77</f>
        <v>4171.6000000000004</v>
      </c>
      <c r="AB77" s="150"/>
    </row>
    <row r="78" spans="1:28" x14ac:dyDescent="0.25">
      <c r="A78" s="49" t="s">
        <v>77</v>
      </c>
      <c r="B78" s="149">
        <v>3563.88</v>
      </c>
      <c r="C78" s="149"/>
      <c r="D78" s="149"/>
      <c r="E78" s="82">
        <f>4.99+32.58+19.77+100</f>
        <v>157.34</v>
      </c>
      <c r="F78" s="83"/>
      <c r="G78" s="84"/>
      <c r="H78" s="82">
        <f>27.9</f>
        <v>27.9</v>
      </c>
      <c r="I78" s="83"/>
      <c r="J78" s="84"/>
      <c r="K78" s="82">
        <v>0</v>
      </c>
      <c r="L78" s="83"/>
      <c r="M78" s="84"/>
      <c r="N78" s="82">
        <v>0</v>
      </c>
      <c r="O78" s="83"/>
      <c r="P78" s="84"/>
      <c r="Q78" s="82">
        <v>0</v>
      </c>
      <c r="R78" s="83"/>
      <c r="S78" s="84"/>
      <c r="T78" s="82">
        <v>0</v>
      </c>
      <c r="U78" s="83"/>
      <c r="V78" s="84"/>
      <c r="W78" s="149">
        <f t="shared" si="5"/>
        <v>185.24</v>
      </c>
      <c r="X78" s="149"/>
      <c r="Y78" s="149"/>
      <c r="Z78" s="47">
        <f>W78/W102</f>
        <v>5.0563872893494982E-4</v>
      </c>
      <c r="AA78" s="150">
        <f>3563.88+W78</f>
        <v>3749.12</v>
      </c>
      <c r="AB78" s="150"/>
    </row>
    <row r="79" spans="1:28" x14ac:dyDescent="0.25">
      <c r="A79" s="49" t="s">
        <v>78</v>
      </c>
      <c r="B79" s="76">
        <v>0</v>
      </c>
      <c r="C79" s="77"/>
      <c r="D79" s="78"/>
      <c r="E79" s="82">
        <f>2359.55</f>
        <v>2359.5500000000002</v>
      </c>
      <c r="F79" s="83"/>
      <c r="G79" s="84"/>
      <c r="H79" s="82">
        <v>0</v>
      </c>
      <c r="I79" s="83"/>
      <c r="J79" s="84"/>
      <c r="K79" s="82">
        <v>0</v>
      </c>
      <c r="L79" s="83"/>
      <c r="M79" s="84"/>
      <c r="N79" s="82">
        <v>0</v>
      </c>
      <c r="O79" s="83"/>
      <c r="P79" s="84"/>
      <c r="Q79" s="82">
        <v>0</v>
      </c>
      <c r="R79" s="83"/>
      <c r="S79" s="84"/>
      <c r="T79" s="82">
        <v>0</v>
      </c>
      <c r="U79" s="83"/>
      <c r="V79" s="84"/>
      <c r="W79" s="149">
        <f t="shared" si="5"/>
        <v>2359.5500000000002</v>
      </c>
      <c r="X79" s="149"/>
      <c r="Y79" s="149"/>
      <c r="Z79" s="47">
        <f>W79/W102</f>
        <v>6.4407248048934402E-3</v>
      </c>
      <c r="AA79" s="150">
        <f>0+W79</f>
        <v>2359.5500000000002</v>
      </c>
      <c r="AB79" s="150"/>
    </row>
    <row r="80" spans="1:28" x14ac:dyDescent="0.25">
      <c r="A80" s="49" t="s">
        <v>79</v>
      </c>
      <c r="B80" s="149">
        <v>2056.7600000000002</v>
      </c>
      <c r="C80" s="149"/>
      <c r="D80" s="149"/>
      <c r="E80" s="82">
        <v>0</v>
      </c>
      <c r="F80" s="83"/>
      <c r="G80" s="84"/>
      <c r="H80" s="82">
        <v>0</v>
      </c>
      <c r="I80" s="83"/>
      <c r="J80" s="84"/>
      <c r="K80" s="82">
        <v>0</v>
      </c>
      <c r="L80" s="83"/>
      <c r="M80" s="84"/>
      <c r="N80" s="82">
        <v>0</v>
      </c>
      <c r="O80" s="83"/>
      <c r="P80" s="84"/>
      <c r="Q80" s="82">
        <v>0</v>
      </c>
      <c r="R80" s="83"/>
      <c r="S80" s="84"/>
      <c r="T80" s="82">
        <v>0</v>
      </c>
      <c r="U80" s="83"/>
      <c r="V80" s="84"/>
      <c r="W80" s="149">
        <f t="shared" si="5"/>
        <v>0</v>
      </c>
      <c r="X80" s="149"/>
      <c r="Y80" s="149"/>
      <c r="Z80" s="47">
        <f>W80/W102</f>
        <v>0</v>
      </c>
      <c r="AA80" s="150">
        <f>2056.76+W80</f>
        <v>2056.7600000000002</v>
      </c>
      <c r="AB80" s="150"/>
    </row>
    <row r="81" spans="1:28" x14ac:dyDescent="0.25">
      <c r="A81" s="49" t="s">
        <v>80</v>
      </c>
      <c r="B81" s="149">
        <v>147202.01999999999</v>
      </c>
      <c r="C81" s="149"/>
      <c r="D81" s="149"/>
      <c r="E81" s="82">
        <f>1386.11+400</f>
        <v>1786.11</v>
      </c>
      <c r="F81" s="83"/>
      <c r="G81" s="84"/>
      <c r="H81" s="82">
        <f>600+1904.25+2113.13</f>
        <v>4617.38</v>
      </c>
      <c r="I81" s="83"/>
      <c r="J81" s="84"/>
      <c r="K81" s="82">
        <f>600+2242.97+2528.19</f>
        <v>5371.16</v>
      </c>
      <c r="L81" s="83"/>
      <c r="M81" s="84"/>
      <c r="N81" s="82">
        <f>600+2571.62+2246.21</f>
        <v>5417.83</v>
      </c>
      <c r="O81" s="83"/>
      <c r="P81" s="84"/>
      <c r="Q81" s="82">
        <f>600+2654.97+2246.21</f>
        <v>5501.18</v>
      </c>
      <c r="R81" s="83"/>
      <c r="S81" s="84"/>
      <c r="T81" s="82">
        <f>600+2759.14+2246.23</f>
        <v>5605.37</v>
      </c>
      <c r="U81" s="83"/>
      <c r="V81" s="84"/>
      <c r="W81" s="149">
        <f t="shared" si="5"/>
        <v>28299.03</v>
      </c>
      <c r="X81" s="149"/>
      <c r="Y81" s="149"/>
      <c r="Z81" s="47">
        <f>W81/W102</f>
        <v>7.7246197145821691E-2</v>
      </c>
      <c r="AA81" s="150">
        <f>147202.02+W81</f>
        <v>175501.05</v>
      </c>
      <c r="AB81" s="150"/>
    </row>
    <row r="82" spans="1:28" x14ac:dyDescent="0.25">
      <c r="A82" s="49" t="s">
        <v>81</v>
      </c>
      <c r="B82" s="149">
        <v>119812.42</v>
      </c>
      <c r="C82" s="149"/>
      <c r="D82" s="149"/>
      <c r="E82" s="82">
        <f>35+47+47+14.1+94+488.27+380.7+503+47.63+66.81+66.81+31.4+45.25+47.63+1493.53+1493.53+78.96</f>
        <v>4980.62</v>
      </c>
      <c r="F82" s="83"/>
      <c r="G82" s="84"/>
      <c r="H82" s="82">
        <f>183.3+201.63+528+606.3+21.12</f>
        <v>1540.35</v>
      </c>
      <c r="I82" s="83"/>
      <c r="J82" s="84"/>
      <c r="K82" s="82">
        <f>184.98+532+449.62+93.29+61.2+371.3+677+1537.6</f>
        <v>3906.99</v>
      </c>
      <c r="L82" s="83"/>
      <c r="M82" s="84"/>
      <c r="N82" s="82">
        <f>449.62+97.24+1754.17+61.2+677</f>
        <v>3039.23</v>
      </c>
      <c r="O82" s="83"/>
      <c r="P82" s="84"/>
      <c r="Q82" s="82">
        <f>449.62+97.24+56.2+1754.17+709</f>
        <v>3066.23</v>
      </c>
      <c r="R82" s="83"/>
      <c r="S82" s="84"/>
      <c r="T82" s="82">
        <f>449.62+1854.14+549</f>
        <v>2852.76</v>
      </c>
      <c r="U82" s="83"/>
      <c r="V82" s="84"/>
      <c r="W82" s="149">
        <f t="shared" si="5"/>
        <v>19386.18</v>
      </c>
      <c r="X82" s="149"/>
      <c r="Y82" s="149"/>
      <c r="Z82" s="47">
        <f>W82/W102</f>
        <v>5.291731491094874E-2</v>
      </c>
      <c r="AA82" s="150">
        <f>119812.42+W82</f>
        <v>139198.6</v>
      </c>
      <c r="AB82" s="150"/>
    </row>
    <row r="83" spans="1:28" x14ac:dyDescent="0.25">
      <c r="A83" s="44" t="s">
        <v>82</v>
      </c>
      <c r="B83" s="147">
        <f>SUM(B84:D88)</f>
        <v>21260.080000000002</v>
      </c>
      <c r="C83" s="147"/>
      <c r="D83" s="147"/>
      <c r="E83" s="144">
        <f>SUM(E84:G88)</f>
        <v>189.5</v>
      </c>
      <c r="F83" s="145"/>
      <c r="G83" s="146"/>
      <c r="H83" s="144">
        <f>SUM(H84:J88)</f>
        <v>34</v>
      </c>
      <c r="I83" s="145"/>
      <c r="J83" s="146"/>
      <c r="K83" s="144">
        <f>SUM(K84:M88)</f>
        <v>165.2</v>
      </c>
      <c r="L83" s="145"/>
      <c r="M83" s="146"/>
      <c r="N83" s="144">
        <f>SUM(N84:P88)</f>
        <v>0</v>
      </c>
      <c r="O83" s="145"/>
      <c r="P83" s="146"/>
      <c r="Q83" s="144">
        <f>SUM(Q84:S88)</f>
        <v>174.45999999999998</v>
      </c>
      <c r="R83" s="145"/>
      <c r="S83" s="146"/>
      <c r="T83" s="144">
        <f>SUM(T84:V88)</f>
        <v>237.11</v>
      </c>
      <c r="U83" s="145"/>
      <c r="V83" s="146"/>
      <c r="W83" s="155">
        <f>SUM(W84:Y88)</f>
        <v>800.27</v>
      </c>
      <c r="X83" s="156"/>
      <c r="Y83" s="157"/>
      <c r="Z83" s="45">
        <f>W83/W102</f>
        <v>2.1844499330855769E-3</v>
      </c>
      <c r="AA83" s="148">
        <f>SUM(AA84:AB88)</f>
        <v>22060.35</v>
      </c>
      <c r="AB83" s="148"/>
    </row>
    <row r="84" spans="1:28" x14ac:dyDescent="0.25">
      <c r="A84" s="46" t="s">
        <v>83</v>
      </c>
      <c r="B84" s="149">
        <v>4832.0600000000004</v>
      </c>
      <c r="C84" s="149"/>
      <c r="D84" s="149"/>
      <c r="E84" s="82">
        <v>0</v>
      </c>
      <c r="F84" s="83"/>
      <c r="G84" s="84"/>
      <c r="H84" s="82">
        <v>0</v>
      </c>
      <c r="I84" s="83"/>
      <c r="J84" s="84"/>
      <c r="K84" s="82">
        <v>0</v>
      </c>
      <c r="L84" s="83"/>
      <c r="M84" s="84"/>
      <c r="N84" s="82">
        <v>0</v>
      </c>
      <c r="O84" s="83"/>
      <c r="P84" s="84"/>
      <c r="Q84" s="82">
        <v>0</v>
      </c>
      <c r="R84" s="83"/>
      <c r="S84" s="84"/>
      <c r="T84" s="82">
        <v>0</v>
      </c>
      <c r="U84" s="83"/>
      <c r="V84" s="84"/>
      <c r="W84" s="76">
        <f>0+E84+H84+K84+N84+Q84+T84</f>
        <v>0</v>
      </c>
      <c r="X84" s="77"/>
      <c r="Y84" s="78"/>
      <c r="Z84" s="47">
        <f>W84/W102</f>
        <v>0</v>
      </c>
      <c r="AA84" s="150">
        <f>4832.06+W84</f>
        <v>4832.0600000000004</v>
      </c>
      <c r="AB84" s="150"/>
    </row>
    <row r="85" spans="1:28" x14ac:dyDescent="0.25">
      <c r="A85" s="46" t="s">
        <v>84</v>
      </c>
      <c r="B85" s="76">
        <v>0</v>
      </c>
      <c r="C85" s="77"/>
      <c r="D85" s="78"/>
      <c r="E85" s="82">
        <v>0</v>
      </c>
      <c r="F85" s="83"/>
      <c r="G85" s="84"/>
      <c r="H85" s="82">
        <v>0</v>
      </c>
      <c r="I85" s="83"/>
      <c r="J85" s="84"/>
      <c r="K85" s="82">
        <v>0</v>
      </c>
      <c r="L85" s="83"/>
      <c r="M85" s="84"/>
      <c r="N85" s="82">
        <v>0</v>
      </c>
      <c r="O85" s="83"/>
      <c r="P85" s="84"/>
      <c r="Q85" s="82">
        <v>0</v>
      </c>
      <c r="R85" s="83"/>
      <c r="S85" s="84"/>
      <c r="T85" s="82">
        <v>0</v>
      </c>
      <c r="U85" s="83"/>
      <c r="V85" s="84"/>
      <c r="W85" s="76">
        <f t="shared" ref="W85:W88" si="6">0+E85+H85+K85+N85+Q85+T85</f>
        <v>0</v>
      </c>
      <c r="X85" s="77"/>
      <c r="Y85" s="78"/>
      <c r="Z85" s="47">
        <f>W85/W102</f>
        <v>0</v>
      </c>
      <c r="AA85" s="150">
        <f t="shared" ref="AA85" si="7">0+W85</f>
        <v>0</v>
      </c>
      <c r="AB85" s="150"/>
    </row>
    <row r="86" spans="1:28" x14ac:dyDescent="0.25">
      <c r="A86" s="46" t="s">
        <v>85</v>
      </c>
      <c r="B86" s="76">
        <v>1100</v>
      </c>
      <c r="C86" s="77"/>
      <c r="D86" s="78"/>
      <c r="E86" s="82">
        <f>17</f>
        <v>17</v>
      </c>
      <c r="F86" s="83"/>
      <c r="G86" s="84"/>
      <c r="H86" s="82">
        <f>17+17</f>
        <v>34</v>
      </c>
      <c r="I86" s="83"/>
      <c r="J86" s="84"/>
      <c r="K86" s="82">
        <f>17+27</f>
        <v>44</v>
      </c>
      <c r="L86" s="83"/>
      <c r="M86" s="84"/>
      <c r="N86" s="82">
        <v>0</v>
      </c>
      <c r="O86" s="83"/>
      <c r="P86" s="84"/>
      <c r="Q86" s="82">
        <f>17+15</f>
        <v>32</v>
      </c>
      <c r="R86" s="83"/>
      <c r="S86" s="84"/>
      <c r="T86" s="82">
        <f>17+15+31.04+29.71+17.66</f>
        <v>110.41</v>
      </c>
      <c r="U86" s="83"/>
      <c r="V86" s="84"/>
      <c r="W86" s="76">
        <f t="shared" si="6"/>
        <v>237.41</v>
      </c>
      <c r="X86" s="77"/>
      <c r="Y86" s="78"/>
      <c r="Z86" s="47">
        <f>W86/W102</f>
        <v>6.4804410838073003E-4</v>
      </c>
      <c r="AA86" s="150">
        <f>1100+W86</f>
        <v>1337.41</v>
      </c>
      <c r="AB86" s="150"/>
    </row>
    <row r="87" spans="1:28" x14ac:dyDescent="0.25">
      <c r="A87" s="46" t="s">
        <v>86</v>
      </c>
      <c r="B87" s="76">
        <v>14793.96</v>
      </c>
      <c r="C87" s="77"/>
      <c r="D87" s="78"/>
      <c r="E87" s="82">
        <f>35.1+107.4</f>
        <v>142.5</v>
      </c>
      <c r="F87" s="83"/>
      <c r="G87" s="84"/>
      <c r="H87" s="82">
        <v>0</v>
      </c>
      <c r="I87" s="83"/>
      <c r="J87" s="84"/>
      <c r="K87" s="82">
        <f>44.3+35.1</f>
        <v>79.400000000000006</v>
      </c>
      <c r="L87" s="83"/>
      <c r="M87" s="84"/>
      <c r="N87" s="82">
        <v>0</v>
      </c>
      <c r="O87" s="83"/>
      <c r="P87" s="84"/>
      <c r="Q87" s="82">
        <f>9.2+35.1+38.2</f>
        <v>82.5</v>
      </c>
      <c r="R87" s="83"/>
      <c r="S87" s="84"/>
      <c r="T87" s="82">
        <f>45.8+80.9</f>
        <v>126.7</v>
      </c>
      <c r="U87" s="83"/>
      <c r="V87" s="84"/>
      <c r="W87" s="76">
        <f t="shared" si="6"/>
        <v>431.09999999999997</v>
      </c>
      <c r="X87" s="77"/>
      <c r="Y87" s="78"/>
      <c r="Z87" s="47">
        <f>W87/W102</f>
        <v>1.1767483051385059E-3</v>
      </c>
      <c r="AA87" s="150">
        <f>14793.96+W87</f>
        <v>15225.06</v>
      </c>
      <c r="AB87" s="150"/>
    </row>
    <row r="88" spans="1:28" x14ac:dyDescent="0.25">
      <c r="A88" s="46" t="s">
        <v>87</v>
      </c>
      <c r="B88" s="76">
        <v>534.05999999999995</v>
      </c>
      <c r="C88" s="77"/>
      <c r="D88" s="78"/>
      <c r="E88" s="82">
        <f>16+14</f>
        <v>30</v>
      </c>
      <c r="F88" s="83"/>
      <c r="G88" s="84"/>
      <c r="H88" s="82">
        <v>0</v>
      </c>
      <c r="I88" s="83"/>
      <c r="J88" s="84"/>
      <c r="K88" s="82">
        <f>11.6+15.2+15</f>
        <v>41.8</v>
      </c>
      <c r="L88" s="83"/>
      <c r="M88" s="84"/>
      <c r="N88" s="82">
        <v>0</v>
      </c>
      <c r="O88" s="83"/>
      <c r="P88" s="84"/>
      <c r="Q88" s="82">
        <f>11+15.3+33.66</f>
        <v>59.959999999999994</v>
      </c>
      <c r="R88" s="83"/>
      <c r="S88" s="84"/>
      <c r="T88" s="82">
        <v>0</v>
      </c>
      <c r="U88" s="83"/>
      <c r="V88" s="84"/>
      <c r="W88" s="76">
        <f t="shared" si="6"/>
        <v>131.76</v>
      </c>
      <c r="X88" s="77"/>
      <c r="Y88" s="78"/>
      <c r="Z88" s="47">
        <f>W88/W102</f>
        <v>3.5965751956634084E-4</v>
      </c>
      <c r="AA88" s="150">
        <f>534.06+W88</f>
        <v>665.81999999999994</v>
      </c>
      <c r="AB88" s="150"/>
    </row>
    <row r="89" spans="1:28" x14ac:dyDescent="0.25">
      <c r="A89" s="44" t="s">
        <v>88</v>
      </c>
      <c r="B89" s="155">
        <f>SUM(B90:D93)</f>
        <v>273602.88</v>
      </c>
      <c r="C89" s="156"/>
      <c r="D89" s="157"/>
      <c r="E89" s="144">
        <f>SUM(E90:G93)</f>
        <v>10089.06</v>
      </c>
      <c r="F89" s="145"/>
      <c r="G89" s="146"/>
      <c r="H89" s="144">
        <f t="shared" ref="H89" si="8">SUM(H90:J93)</f>
        <v>200</v>
      </c>
      <c r="I89" s="145"/>
      <c r="J89" s="146"/>
      <c r="K89" s="144">
        <f t="shared" ref="K89" si="9">SUM(K90:M93)</f>
        <v>300</v>
      </c>
      <c r="L89" s="145"/>
      <c r="M89" s="146"/>
      <c r="N89" s="144">
        <f t="shared" ref="N89" si="10">SUM(N90:P93)</f>
        <v>0</v>
      </c>
      <c r="O89" s="145"/>
      <c r="P89" s="146"/>
      <c r="Q89" s="144">
        <f t="shared" ref="Q89" si="11">SUM(Q90:S93)</f>
        <v>5783.0499999999993</v>
      </c>
      <c r="R89" s="145"/>
      <c r="S89" s="146"/>
      <c r="T89" s="144">
        <f t="shared" ref="T89" si="12">SUM(T90:V93)</f>
        <v>0</v>
      </c>
      <c r="U89" s="145"/>
      <c r="V89" s="146"/>
      <c r="W89" s="155">
        <f>SUM(W90:Y93)</f>
        <v>16372.109999999999</v>
      </c>
      <c r="X89" s="156"/>
      <c r="Y89" s="157"/>
      <c r="Z89" s="45">
        <f>W89/W102</f>
        <v>4.468998537239894E-2</v>
      </c>
      <c r="AA89" s="148">
        <f>SUM(AA90:AB93)</f>
        <v>289974.99</v>
      </c>
      <c r="AB89" s="148"/>
    </row>
    <row r="90" spans="1:28" x14ac:dyDescent="0.25">
      <c r="A90" s="46" t="s">
        <v>89</v>
      </c>
      <c r="B90" s="76">
        <f>93359.5</f>
        <v>93359.5</v>
      </c>
      <c r="C90" s="77"/>
      <c r="D90" s="78"/>
      <c r="E90" s="82">
        <f>9027.03+667.8</f>
        <v>9694.83</v>
      </c>
      <c r="F90" s="83"/>
      <c r="G90" s="84"/>
      <c r="H90" s="82">
        <v>0</v>
      </c>
      <c r="I90" s="83"/>
      <c r="J90" s="84"/>
      <c r="K90" s="82">
        <v>0</v>
      </c>
      <c r="L90" s="83"/>
      <c r="M90" s="84"/>
      <c r="N90" s="82">
        <v>0</v>
      </c>
      <c r="O90" s="83"/>
      <c r="P90" s="84"/>
      <c r="Q90" s="82">
        <f>4279.9+1503.15</f>
        <v>5783.0499999999993</v>
      </c>
      <c r="R90" s="83"/>
      <c r="S90" s="84"/>
      <c r="T90" s="82">
        <v>0</v>
      </c>
      <c r="U90" s="83"/>
      <c r="V90" s="84"/>
      <c r="W90" s="76">
        <f>0+E90+H90+K90+N90+Q90+T90</f>
        <v>15477.88</v>
      </c>
      <c r="X90" s="77"/>
      <c r="Y90" s="78"/>
      <c r="Z90" s="47">
        <f>W90/W102</f>
        <v>4.2249058355688186E-2</v>
      </c>
      <c r="AA90" s="150">
        <f>93359.5+W90</f>
        <v>108837.38</v>
      </c>
      <c r="AB90" s="150"/>
    </row>
    <row r="91" spans="1:28" x14ac:dyDescent="0.25">
      <c r="A91" s="46" t="s">
        <v>90</v>
      </c>
      <c r="B91" s="76">
        <v>1000</v>
      </c>
      <c r="C91" s="77"/>
      <c r="D91" s="78"/>
      <c r="E91" s="82">
        <v>0</v>
      </c>
      <c r="F91" s="83"/>
      <c r="G91" s="84"/>
      <c r="H91" s="82">
        <f>200</f>
        <v>200</v>
      </c>
      <c r="I91" s="83"/>
      <c r="J91" s="84"/>
      <c r="K91" s="82">
        <v>0</v>
      </c>
      <c r="L91" s="83"/>
      <c r="M91" s="84"/>
      <c r="N91" s="82">
        <v>0</v>
      </c>
      <c r="O91" s="83"/>
      <c r="P91" s="84"/>
      <c r="Q91" s="82">
        <v>0</v>
      </c>
      <c r="R91" s="83"/>
      <c r="S91" s="84"/>
      <c r="T91" s="82">
        <v>0</v>
      </c>
      <c r="U91" s="83"/>
      <c r="V91" s="84"/>
      <c r="W91" s="76">
        <f t="shared" ref="W91:W93" si="13">0+E91+H91+K91+N91+Q91+T91</f>
        <v>200</v>
      </c>
      <c r="X91" s="77"/>
      <c r="Y91" s="78"/>
      <c r="Z91" s="47">
        <f>W91/W102</f>
        <v>5.4592823249292779E-4</v>
      </c>
      <c r="AA91" s="150">
        <f>1000+W91</f>
        <v>1200</v>
      </c>
      <c r="AB91" s="150"/>
    </row>
    <row r="92" spans="1:28" x14ac:dyDescent="0.25">
      <c r="A92" s="46" t="s">
        <v>91</v>
      </c>
      <c r="B92" s="76">
        <v>179183.38</v>
      </c>
      <c r="C92" s="77"/>
      <c r="D92" s="78"/>
      <c r="E92" s="82">
        <f>20+20+20+20+20+20+100+174.23</f>
        <v>394.23</v>
      </c>
      <c r="F92" s="83"/>
      <c r="G92" s="84"/>
      <c r="H92" s="82">
        <v>0</v>
      </c>
      <c r="I92" s="83"/>
      <c r="J92" s="84"/>
      <c r="K92" s="82">
        <f>120+180</f>
        <v>300</v>
      </c>
      <c r="L92" s="83"/>
      <c r="M92" s="84"/>
      <c r="N92" s="82">
        <v>0</v>
      </c>
      <c r="O92" s="83"/>
      <c r="P92" s="84"/>
      <c r="Q92" s="82">
        <v>0</v>
      </c>
      <c r="R92" s="83"/>
      <c r="S92" s="84"/>
      <c r="T92" s="82">
        <v>0</v>
      </c>
      <c r="U92" s="83"/>
      <c r="V92" s="84"/>
      <c r="W92" s="76">
        <f t="shared" si="13"/>
        <v>694.23</v>
      </c>
      <c r="X92" s="77"/>
      <c r="Y92" s="78"/>
      <c r="Z92" s="47">
        <f>W92/W102</f>
        <v>1.8949987842178265E-3</v>
      </c>
      <c r="AA92" s="150">
        <f>179183.38+W92</f>
        <v>179877.61000000002</v>
      </c>
      <c r="AB92" s="150"/>
    </row>
    <row r="93" spans="1:28" x14ac:dyDescent="0.25">
      <c r="A93" s="46" t="s">
        <v>92</v>
      </c>
      <c r="B93" s="76">
        <v>60</v>
      </c>
      <c r="C93" s="77"/>
      <c r="D93" s="78"/>
      <c r="E93" s="82">
        <v>0</v>
      </c>
      <c r="F93" s="83"/>
      <c r="G93" s="84"/>
      <c r="H93" s="82">
        <v>0</v>
      </c>
      <c r="I93" s="83"/>
      <c r="J93" s="84"/>
      <c r="K93" s="82">
        <v>0</v>
      </c>
      <c r="L93" s="83"/>
      <c r="M93" s="84"/>
      <c r="N93" s="82">
        <v>0</v>
      </c>
      <c r="O93" s="83"/>
      <c r="P93" s="84"/>
      <c r="Q93" s="82">
        <v>0</v>
      </c>
      <c r="R93" s="83"/>
      <c r="S93" s="84"/>
      <c r="T93" s="82">
        <v>0</v>
      </c>
      <c r="U93" s="83"/>
      <c r="V93" s="84"/>
      <c r="W93" s="76">
        <f t="shared" si="13"/>
        <v>0</v>
      </c>
      <c r="X93" s="77"/>
      <c r="Y93" s="78"/>
      <c r="Z93" s="47">
        <f>W93/W102</f>
        <v>0</v>
      </c>
      <c r="AA93" s="150">
        <f>60+W93</f>
        <v>60</v>
      </c>
      <c r="AB93" s="150"/>
    </row>
    <row r="94" spans="1:28" x14ac:dyDescent="0.25">
      <c r="A94" s="44" t="s">
        <v>93</v>
      </c>
      <c r="B94" s="155">
        <f>SUM(B95:D101)</f>
        <v>178248.91999999998</v>
      </c>
      <c r="C94" s="156"/>
      <c r="D94" s="157"/>
      <c r="E94" s="144">
        <f>SUM(E95:G101)</f>
        <v>4770.4400000000005</v>
      </c>
      <c r="F94" s="145"/>
      <c r="G94" s="146"/>
      <c r="H94" s="144">
        <f t="shared" ref="H94" si="14">SUM(H95:J101)</f>
        <v>6178.1900000000005</v>
      </c>
      <c r="I94" s="145"/>
      <c r="J94" s="146"/>
      <c r="K94" s="144">
        <f t="shared" ref="K94" si="15">SUM(K95:M101)</f>
        <v>8814.16</v>
      </c>
      <c r="L94" s="145"/>
      <c r="M94" s="146"/>
      <c r="N94" s="144">
        <f t="shared" ref="N94" si="16">SUM(N95:P101)</f>
        <v>0</v>
      </c>
      <c r="O94" s="145"/>
      <c r="P94" s="146"/>
      <c r="Q94" s="144">
        <f t="shared" ref="Q94" si="17">SUM(Q95:S101)</f>
        <v>0</v>
      </c>
      <c r="R94" s="145"/>
      <c r="S94" s="146"/>
      <c r="T94" s="144">
        <f t="shared" ref="T94" si="18">SUM(T95:V101)</f>
        <v>0</v>
      </c>
      <c r="U94" s="145"/>
      <c r="V94" s="146"/>
      <c r="W94" s="155">
        <f>SUM(W95:Y101)</f>
        <v>19762.79</v>
      </c>
      <c r="X94" s="156"/>
      <c r="Y94" s="157"/>
      <c r="Z94" s="45">
        <f>W94/W102</f>
        <v>5.3945325069144547E-2</v>
      </c>
      <c r="AA94" s="148">
        <f>SUM(AA95:AB101)</f>
        <v>198011.71000000002</v>
      </c>
      <c r="AB94" s="148"/>
    </row>
    <row r="95" spans="1:28" x14ac:dyDescent="0.25">
      <c r="A95" s="49" t="s">
        <v>94</v>
      </c>
      <c r="B95" s="76">
        <v>74980.759999999995</v>
      </c>
      <c r="C95" s="77"/>
      <c r="D95" s="78"/>
      <c r="E95" s="82">
        <v>2616.9499999999998</v>
      </c>
      <c r="F95" s="83"/>
      <c r="G95" s="84"/>
      <c r="H95" s="82">
        <f>1710.68+355.51+1760.11</f>
        <v>3826.3</v>
      </c>
      <c r="I95" s="83"/>
      <c r="J95" s="84"/>
      <c r="K95" s="82">
        <f>1556.68+1195.41</f>
        <v>2752.09</v>
      </c>
      <c r="L95" s="83"/>
      <c r="M95" s="84"/>
      <c r="N95" s="82">
        <v>0</v>
      </c>
      <c r="O95" s="83"/>
      <c r="P95" s="84"/>
      <c r="Q95" s="82">
        <v>0</v>
      </c>
      <c r="R95" s="83"/>
      <c r="S95" s="84"/>
      <c r="T95" s="82">
        <v>0</v>
      </c>
      <c r="U95" s="83"/>
      <c r="V95" s="84"/>
      <c r="W95" s="76">
        <f>0+E95+H95+K95+N95+Q95+T95</f>
        <v>9195.34</v>
      </c>
      <c r="X95" s="77"/>
      <c r="Y95" s="78"/>
      <c r="Z95" s="47">
        <f>W95/W102</f>
        <v>2.5099978566857594E-2</v>
      </c>
      <c r="AA95" s="150">
        <f>74980.76+W95</f>
        <v>84176.099999999991</v>
      </c>
      <c r="AB95" s="150"/>
    </row>
    <row r="96" spans="1:28" x14ac:dyDescent="0.25">
      <c r="A96" s="49" t="s">
        <v>95</v>
      </c>
      <c r="B96" s="76">
        <v>19327.43</v>
      </c>
      <c r="C96" s="77"/>
      <c r="D96" s="78"/>
      <c r="E96" s="82">
        <v>0</v>
      </c>
      <c r="F96" s="83"/>
      <c r="G96" s="84"/>
      <c r="H96" s="82">
        <f>1034</f>
        <v>1034</v>
      </c>
      <c r="I96" s="83"/>
      <c r="J96" s="84"/>
      <c r="K96" s="82">
        <v>0</v>
      </c>
      <c r="L96" s="83"/>
      <c r="M96" s="84"/>
      <c r="N96" s="82">
        <v>0</v>
      </c>
      <c r="O96" s="83"/>
      <c r="P96" s="84"/>
      <c r="Q96" s="82">
        <v>0</v>
      </c>
      <c r="R96" s="83"/>
      <c r="S96" s="84"/>
      <c r="T96" s="82">
        <v>0</v>
      </c>
      <c r="U96" s="83"/>
      <c r="V96" s="84"/>
      <c r="W96" s="76">
        <f t="shared" ref="W96:W101" si="19">0+E96+H96+K96+N96+Q96+T96</f>
        <v>1034</v>
      </c>
      <c r="X96" s="77"/>
      <c r="Y96" s="78"/>
      <c r="Z96" s="47">
        <f>W96/W102</f>
        <v>2.8224489619884368E-3</v>
      </c>
      <c r="AA96" s="150">
        <f>19327.43+W96</f>
        <v>20361.43</v>
      </c>
      <c r="AB96" s="150"/>
    </row>
    <row r="97" spans="1:28" x14ac:dyDescent="0.25">
      <c r="A97" s="49" t="s">
        <v>96</v>
      </c>
      <c r="B97" s="76">
        <v>24884.52</v>
      </c>
      <c r="C97" s="77"/>
      <c r="D97" s="78"/>
      <c r="E97" s="82">
        <f>751.76</f>
        <v>751.76</v>
      </c>
      <c r="F97" s="83"/>
      <c r="G97" s="84"/>
      <c r="H97" s="82">
        <f>1317.89</f>
        <v>1317.89</v>
      </c>
      <c r="I97" s="83"/>
      <c r="J97" s="84"/>
      <c r="K97" s="82">
        <f>858</f>
        <v>858</v>
      </c>
      <c r="L97" s="83"/>
      <c r="M97" s="84"/>
      <c r="N97" s="82">
        <v>0</v>
      </c>
      <c r="O97" s="83"/>
      <c r="P97" s="84"/>
      <c r="Q97" s="82">
        <v>0</v>
      </c>
      <c r="R97" s="83"/>
      <c r="S97" s="84"/>
      <c r="T97" s="82">
        <v>0</v>
      </c>
      <c r="U97" s="83"/>
      <c r="V97" s="84"/>
      <c r="W97" s="76">
        <f t="shared" si="19"/>
        <v>2927.65</v>
      </c>
      <c r="X97" s="77"/>
      <c r="Y97" s="78"/>
      <c r="Z97" s="47">
        <f>W97/W102</f>
        <v>7.991433949289601E-3</v>
      </c>
      <c r="AA97" s="150">
        <f>24884.52+W97</f>
        <v>27812.170000000002</v>
      </c>
      <c r="AB97" s="150"/>
    </row>
    <row r="98" spans="1:28" x14ac:dyDescent="0.25">
      <c r="A98" s="49" t="s">
        <v>97</v>
      </c>
      <c r="B98" s="76">
        <v>6131.04</v>
      </c>
      <c r="C98" s="77"/>
      <c r="D98" s="78"/>
      <c r="E98" s="82">
        <v>0</v>
      </c>
      <c r="F98" s="83"/>
      <c r="G98" s="84"/>
      <c r="H98" s="82">
        <v>0</v>
      </c>
      <c r="I98" s="83"/>
      <c r="J98" s="84"/>
      <c r="K98" s="82">
        <f>1527.85</f>
        <v>1527.85</v>
      </c>
      <c r="L98" s="83"/>
      <c r="M98" s="84"/>
      <c r="N98" s="82">
        <v>0</v>
      </c>
      <c r="O98" s="83"/>
      <c r="P98" s="84"/>
      <c r="Q98" s="82">
        <v>0</v>
      </c>
      <c r="R98" s="83"/>
      <c r="S98" s="84"/>
      <c r="T98" s="82">
        <v>0</v>
      </c>
      <c r="U98" s="83"/>
      <c r="V98" s="84"/>
      <c r="W98" s="76">
        <f t="shared" si="19"/>
        <v>1527.85</v>
      </c>
      <c r="X98" s="77"/>
      <c r="Y98" s="78"/>
      <c r="Z98" s="50">
        <f>W98/W102</f>
        <v>4.1704822500715985E-3</v>
      </c>
      <c r="AA98" s="150">
        <f>6131.04+W98</f>
        <v>7658.8899999999994</v>
      </c>
      <c r="AB98" s="150"/>
    </row>
    <row r="99" spans="1:28" x14ac:dyDescent="0.25">
      <c r="A99" s="49" t="s">
        <v>98</v>
      </c>
      <c r="B99" s="76">
        <v>8096.72</v>
      </c>
      <c r="C99" s="77"/>
      <c r="D99" s="78"/>
      <c r="E99" s="82">
        <v>0</v>
      </c>
      <c r="F99" s="83"/>
      <c r="G99" s="84"/>
      <c r="H99" s="82">
        <v>0</v>
      </c>
      <c r="I99" s="83"/>
      <c r="J99" s="84"/>
      <c r="K99" s="82">
        <f>774.85</f>
        <v>774.85</v>
      </c>
      <c r="L99" s="83"/>
      <c r="M99" s="84"/>
      <c r="N99" s="82">
        <v>0</v>
      </c>
      <c r="O99" s="83"/>
      <c r="P99" s="84"/>
      <c r="Q99" s="82">
        <v>0</v>
      </c>
      <c r="R99" s="83"/>
      <c r="S99" s="84"/>
      <c r="T99" s="82">
        <v>0</v>
      </c>
      <c r="U99" s="83"/>
      <c r="V99" s="84"/>
      <c r="W99" s="76">
        <f t="shared" si="19"/>
        <v>774.85</v>
      </c>
      <c r="X99" s="77"/>
      <c r="Y99" s="78"/>
      <c r="Z99" s="47">
        <f>W99/W102</f>
        <v>2.1150624547357257E-3</v>
      </c>
      <c r="AA99" s="150">
        <f>8096.72+W99</f>
        <v>8871.57</v>
      </c>
      <c r="AB99" s="150"/>
    </row>
    <row r="100" spans="1:28" x14ac:dyDescent="0.25">
      <c r="A100" s="49" t="s">
        <v>99</v>
      </c>
      <c r="B100" s="76">
        <v>14414.08</v>
      </c>
      <c r="C100" s="77"/>
      <c r="D100" s="78"/>
      <c r="E100" s="82">
        <v>0</v>
      </c>
      <c r="F100" s="83"/>
      <c r="G100" s="84"/>
      <c r="H100" s="82">
        <v>0</v>
      </c>
      <c r="I100" s="83"/>
      <c r="J100" s="84"/>
      <c r="K100" s="82">
        <v>0</v>
      </c>
      <c r="L100" s="83"/>
      <c r="M100" s="84"/>
      <c r="N100" s="82">
        <v>0</v>
      </c>
      <c r="O100" s="83"/>
      <c r="P100" s="84"/>
      <c r="Q100" s="82">
        <v>0</v>
      </c>
      <c r="R100" s="83"/>
      <c r="S100" s="84"/>
      <c r="T100" s="82">
        <v>0</v>
      </c>
      <c r="U100" s="83"/>
      <c r="V100" s="84"/>
      <c r="W100" s="76">
        <f t="shared" si="19"/>
        <v>0</v>
      </c>
      <c r="X100" s="77"/>
      <c r="Y100" s="78"/>
      <c r="Z100" s="47">
        <f>W100/W102</f>
        <v>0</v>
      </c>
      <c r="AA100" s="150">
        <f>14414.08+W100</f>
        <v>14414.08</v>
      </c>
      <c r="AB100" s="150"/>
    </row>
    <row r="101" spans="1:28" x14ac:dyDescent="0.25">
      <c r="A101" s="49" t="s">
        <v>100</v>
      </c>
      <c r="B101" s="76">
        <v>30414.37</v>
      </c>
      <c r="C101" s="77"/>
      <c r="D101" s="78"/>
      <c r="E101" s="82">
        <f>1045.9+241.2+12.73+21.9+30+50</f>
        <v>1401.7300000000002</v>
      </c>
      <c r="F101" s="83"/>
      <c r="G101" s="84"/>
      <c r="H101" s="82">
        <v>0</v>
      </c>
      <c r="I101" s="83"/>
      <c r="J101" s="84"/>
      <c r="K101" s="82">
        <f>2901.37</f>
        <v>2901.37</v>
      </c>
      <c r="L101" s="83"/>
      <c r="M101" s="84"/>
      <c r="N101" s="82">
        <v>0</v>
      </c>
      <c r="O101" s="83"/>
      <c r="P101" s="84"/>
      <c r="Q101" s="82">
        <v>0</v>
      </c>
      <c r="R101" s="83"/>
      <c r="S101" s="84"/>
      <c r="T101" s="82">
        <v>0</v>
      </c>
      <c r="U101" s="83"/>
      <c r="V101" s="84"/>
      <c r="W101" s="76">
        <f t="shared" si="19"/>
        <v>4303.1000000000004</v>
      </c>
      <c r="X101" s="77"/>
      <c r="Y101" s="78"/>
      <c r="Z101" s="47">
        <f>W101/W102</f>
        <v>1.1745918886201591E-2</v>
      </c>
      <c r="AA101" s="150">
        <f>30414.37+W101</f>
        <v>34717.47</v>
      </c>
      <c r="AB101" s="150"/>
    </row>
    <row r="102" spans="1:28" x14ac:dyDescent="0.25">
      <c r="A102" s="51" t="s">
        <v>101</v>
      </c>
      <c r="B102" s="158">
        <v>665976.37</v>
      </c>
      <c r="C102" s="159"/>
      <c r="D102" s="160"/>
      <c r="E102" s="158">
        <f>E33+E42+E46+E50+E63+E68+E83+E89+E94</f>
        <v>60661.509999999995</v>
      </c>
      <c r="F102" s="159"/>
      <c r="G102" s="160"/>
      <c r="H102" s="158">
        <f>H33+H42+H46+H50+H63+H68+H83+H89+H94</f>
        <v>41855.070000000007</v>
      </c>
      <c r="I102" s="159"/>
      <c r="J102" s="160"/>
      <c r="K102" s="158">
        <f>K33+K42+K46+K50+K63+K68+K83+K89+K94</f>
        <v>48116</v>
      </c>
      <c r="L102" s="159"/>
      <c r="M102" s="160"/>
      <c r="N102" s="158">
        <f>N33+N42+N46+N50+N63+N68+N83+N89+N94</f>
        <v>72473.42</v>
      </c>
      <c r="O102" s="159"/>
      <c r="P102" s="160"/>
      <c r="Q102" s="158">
        <f>Q33+Q42+Q46+Q50+Q63+Q68+Q83+Q89+Q94</f>
        <v>60471.19</v>
      </c>
      <c r="R102" s="159"/>
      <c r="S102" s="160"/>
      <c r="T102" s="158">
        <f>T33+T42+T46+T50+T63+T68+T83+T89+T94</f>
        <v>82771.33</v>
      </c>
      <c r="U102" s="159"/>
      <c r="V102" s="160"/>
      <c r="W102" s="158">
        <f>SUM(W33+W42+W46+W50+W63+W68+W83+W89+W94)</f>
        <v>366348.51999999996</v>
      </c>
      <c r="X102" s="159"/>
      <c r="Y102" s="160"/>
      <c r="Z102" s="52">
        <f>W102/W102</f>
        <v>1</v>
      </c>
      <c r="AA102" s="161">
        <f>SUM(AA33+AA42+AA46+AA50+AA63+AA68+AA83+AA89+AA94)</f>
        <v>2402549.66</v>
      </c>
      <c r="AB102" s="161"/>
    </row>
    <row r="103" spans="1:28" x14ac:dyDescent="0.25">
      <c r="A103" s="53" t="s">
        <v>102</v>
      </c>
      <c r="B103" s="162">
        <f>D27-B104</f>
        <v>2150247.92</v>
      </c>
      <c r="C103" s="163"/>
      <c r="D103" s="164"/>
      <c r="E103" s="165">
        <f>G27-E102</f>
        <v>63337.280000000013</v>
      </c>
      <c r="F103" s="165"/>
      <c r="G103" s="165"/>
      <c r="H103" s="165">
        <f>J27-H102</f>
        <v>79118.739999999991</v>
      </c>
      <c r="I103" s="165"/>
      <c r="J103" s="165"/>
      <c r="K103" s="165">
        <f>M27-K102</f>
        <v>-39763.53</v>
      </c>
      <c r="L103" s="165"/>
      <c r="M103" s="165"/>
      <c r="N103" s="165">
        <f>P27-N102</f>
        <v>49000.380000000005</v>
      </c>
      <c r="O103" s="165"/>
      <c r="P103" s="165"/>
      <c r="Q103" s="165">
        <f>S27-Q102</f>
        <v>-53036.22</v>
      </c>
      <c r="R103" s="165"/>
      <c r="S103" s="165"/>
      <c r="T103" s="165">
        <f>V27-T102</f>
        <v>38238.990000000005</v>
      </c>
      <c r="U103" s="165"/>
      <c r="V103" s="165"/>
      <c r="W103" s="166">
        <f>Y27-W102</f>
        <v>136895.64000000007</v>
      </c>
      <c r="X103" s="166"/>
      <c r="Y103" s="166"/>
      <c r="Z103" s="175">
        <f>AB27-AA102</f>
        <v>2287143.5599999996</v>
      </c>
      <c r="AA103" s="175"/>
      <c r="AB103" s="175"/>
    </row>
    <row r="104" spans="1:28" x14ac:dyDescent="0.25">
      <c r="A104" s="54" t="s">
        <v>103</v>
      </c>
      <c r="B104" s="176">
        <v>2036201.14</v>
      </c>
      <c r="C104" s="176"/>
      <c r="D104" s="176"/>
      <c r="E104" s="55"/>
      <c r="F104" s="55"/>
      <c r="G104" s="55"/>
      <c r="H104" s="56"/>
      <c r="I104" s="56"/>
      <c r="J104" s="55"/>
      <c r="K104" s="56"/>
      <c r="L104" s="56"/>
      <c r="M104" s="55"/>
      <c r="N104" s="56"/>
      <c r="O104" s="56"/>
      <c r="P104" s="55"/>
      <c r="Q104" s="56"/>
      <c r="R104" s="56"/>
      <c r="S104" s="55"/>
      <c r="T104" s="56"/>
      <c r="U104" s="56"/>
      <c r="V104" s="55"/>
      <c r="W104" s="56"/>
      <c r="X104" s="56"/>
      <c r="Y104" s="56"/>
      <c r="Z104" s="177"/>
      <c r="AA104" s="177"/>
      <c r="AB104" s="177"/>
    </row>
    <row r="105" spans="1:28" x14ac:dyDescent="0.25">
      <c r="A105" s="178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</row>
    <row r="106" spans="1:28" x14ac:dyDescent="0.25">
      <c r="A106" s="180"/>
      <c r="B106" s="180"/>
      <c r="C106" s="180"/>
      <c r="D106" s="180"/>
      <c r="E106" s="180"/>
      <c r="F106" s="180"/>
      <c r="G106" s="180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</row>
    <row r="107" spans="1:28" x14ac:dyDescent="0.25">
      <c r="A107" s="57" t="s">
        <v>104</v>
      </c>
      <c r="B107" s="181" t="s">
        <v>105</v>
      </c>
      <c r="C107" s="182"/>
      <c r="D107" s="182"/>
      <c r="E107" s="183" t="s">
        <v>4</v>
      </c>
      <c r="F107" s="184"/>
      <c r="G107" s="185"/>
      <c r="H107" s="186" t="s">
        <v>5</v>
      </c>
      <c r="I107" s="186"/>
      <c r="J107" s="186"/>
      <c r="K107" s="186" t="s">
        <v>6</v>
      </c>
      <c r="L107" s="186"/>
      <c r="M107" s="186"/>
      <c r="N107" s="186" t="s">
        <v>7</v>
      </c>
      <c r="O107" s="186"/>
      <c r="P107" s="186"/>
      <c r="Q107" s="186" t="s">
        <v>8</v>
      </c>
      <c r="R107" s="186"/>
      <c r="S107" s="186"/>
      <c r="T107" s="167" t="s">
        <v>9</v>
      </c>
      <c r="U107" s="167"/>
      <c r="V107" s="167"/>
      <c r="W107" s="58"/>
      <c r="X107" s="58"/>
      <c r="Y107" s="58"/>
      <c r="Z107" s="58"/>
      <c r="AA107" s="58"/>
      <c r="AB107" s="58"/>
    </row>
    <row r="108" spans="1:28" x14ac:dyDescent="0.25">
      <c r="A108" s="59" t="s">
        <v>106</v>
      </c>
      <c r="B108" s="168">
        <f>344608.99</f>
        <v>344608.99</v>
      </c>
      <c r="C108" s="169"/>
      <c r="D108" s="170"/>
      <c r="E108" s="171">
        <f>B108+103000+1258.22-33476.8-48.46</f>
        <v>415341.94999999995</v>
      </c>
      <c r="F108" s="172"/>
      <c r="G108" s="173"/>
      <c r="H108" s="85">
        <f>E108-33646.97+989.67-72.49</f>
        <v>382612.16</v>
      </c>
      <c r="I108" s="85"/>
      <c r="J108" s="85"/>
      <c r="K108" s="85">
        <f>H108+100000-36971.24-103.47+1353.08</f>
        <v>446890.53</v>
      </c>
      <c r="L108" s="85"/>
      <c r="M108" s="85"/>
      <c r="N108" s="171">
        <f>K108+994.9-163-53478.09</f>
        <v>394244.34000000008</v>
      </c>
      <c r="O108" s="172"/>
      <c r="P108" s="173"/>
      <c r="Q108" s="174">
        <f>N108+766.4-808.1-56378.6</f>
        <v>337824.04000000015</v>
      </c>
      <c r="R108" s="174"/>
      <c r="S108" s="174"/>
      <c r="T108" s="174">
        <f>Q108+573.82-97.86-70257.38</f>
        <v>268042.62000000017</v>
      </c>
      <c r="U108" s="174"/>
      <c r="V108" s="174"/>
      <c r="W108" s="58"/>
      <c r="X108" s="58"/>
      <c r="Y108" s="58"/>
      <c r="Z108" s="58"/>
      <c r="AA108" s="58"/>
      <c r="AB108" s="58"/>
    </row>
    <row r="109" spans="1:28" x14ac:dyDescent="0.25">
      <c r="A109" s="59" t="s">
        <v>107</v>
      </c>
      <c r="B109" s="168">
        <v>675639.54</v>
      </c>
      <c r="C109" s="169"/>
      <c r="D109" s="170"/>
      <c r="E109" s="171">
        <f>B109+100000+2528.85</f>
        <v>778168.39</v>
      </c>
      <c r="F109" s="172"/>
      <c r="G109" s="173"/>
      <c r="H109" s="85">
        <f>E109+2097.79</f>
        <v>780266.18</v>
      </c>
      <c r="I109" s="85"/>
      <c r="J109" s="85"/>
      <c r="K109" s="85">
        <f>H109+748.68</f>
        <v>781014.8600000001</v>
      </c>
      <c r="L109" s="85"/>
      <c r="M109" s="85"/>
      <c r="N109" s="151">
        <f>K109-462.33</f>
        <v>780552.53000000014</v>
      </c>
      <c r="O109" s="152"/>
      <c r="P109" s="153"/>
      <c r="Q109" s="150">
        <f>N109+2494.19-1448.28</f>
        <v>781598.44000000006</v>
      </c>
      <c r="R109" s="150"/>
      <c r="S109" s="150"/>
      <c r="T109" s="174">
        <f>Q109+1968.57</f>
        <v>783567.01</v>
      </c>
      <c r="U109" s="174"/>
      <c r="V109" s="174"/>
      <c r="W109" s="187"/>
      <c r="X109" s="187"/>
      <c r="Y109" s="187"/>
      <c r="Z109" s="187"/>
      <c r="AA109" s="187"/>
      <c r="AB109" s="187"/>
    </row>
    <row r="110" spans="1:28" x14ac:dyDescent="0.25">
      <c r="A110" s="59" t="s">
        <v>108</v>
      </c>
      <c r="B110" s="168">
        <v>0</v>
      </c>
      <c r="C110" s="169"/>
      <c r="D110" s="170"/>
      <c r="E110" s="171">
        <v>0</v>
      </c>
      <c r="F110" s="172"/>
      <c r="G110" s="173"/>
      <c r="H110" s="171">
        <v>0</v>
      </c>
      <c r="I110" s="172"/>
      <c r="J110" s="173"/>
      <c r="K110" s="171">
        <v>0</v>
      </c>
      <c r="L110" s="172"/>
      <c r="M110" s="173"/>
      <c r="N110" s="171">
        <f>100000+25.38</f>
        <v>100025.38</v>
      </c>
      <c r="O110" s="172"/>
      <c r="P110" s="173"/>
      <c r="Q110" s="174">
        <f>N110+209.71-35.26</f>
        <v>100199.83000000002</v>
      </c>
      <c r="R110" s="174"/>
      <c r="S110" s="174"/>
      <c r="T110" s="174">
        <f>Q110+184.59</f>
        <v>100384.42000000001</v>
      </c>
      <c r="U110" s="174"/>
      <c r="V110" s="174"/>
      <c r="W110" s="58"/>
      <c r="X110" s="58"/>
      <c r="Y110" s="58"/>
      <c r="Z110" s="58"/>
      <c r="AA110" s="58"/>
      <c r="AB110" s="58"/>
    </row>
    <row r="111" spans="1:28" x14ac:dyDescent="0.25">
      <c r="A111" s="59" t="s">
        <v>109</v>
      </c>
      <c r="B111" s="168">
        <v>1016116.05</v>
      </c>
      <c r="C111" s="169"/>
      <c r="D111" s="170"/>
      <c r="E111" s="171">
        <f>B111+3456.99</f>
        <v>1019573.04</v>
      </c>
      <c r="F111" s="172"/>
      <c r="G111" s="173"/>
      <c r="H111" s="85">
        <f>E111+2306.35</f>
        <v>1021879.39</v>
      </c>
      <c r="I111" s="85"/>
      <c r="J111" s="85"/>
      <c r="K111" s="85">
        <f>H111+2670.71</f>
        <v>1024550.1</v>
      </c>
      <c r="L111" s="85"/>
      <c r="M111" s="85"/>
      <c r="N111" s="171">
        <f>K111+2243.52</f>
        <v>1026793.62</v>
      </c>
      <c r="O111" s="172"/>
      <c r="P111" s="173"/>
      <c r="Q111" s="174">
        <f>N111+1884.67</f>
        <v>1028678.29</v>
      </c>
      <c r="R111" s="174"/>
      <c r="S111" s="174"/>
      <c r="T111" s="174">
        <f>Q111+1703.34</f>
        <v>1030381.63</v>
      </c>
      <c r="U111" s="174"/>
      <c r="V111" s="174"/>
      <c r="W111" s="58"/>
      <c r="X111" s="58"/>
      <c r="Y111" s="58"/>
      <c r="Z111" s="58"/>
      <c r="AA111" s="58"/>
      <c r="AB111" s="58"/>
    </row>
    <row r="112" spans="1:28" x14ac:dyDescent="0.25">
      <c r="A112" s="59" t="s">
        <v>110</v>
      </c>
      <c r="B112" s="168">
        <v>113425.27</v>
      </c>
      <c r="C112" s="169"/>
      <c r="D112" s="170"/>
      <c r="E112" s="151">
        <f>B112+447.4-113872.67</f>
        <v>0</v>
      </c>
      <c r="F112" s="152"/>
      <c r="G112" s="153"/>
      <c r="H112" s="150">
        <v>0</v>
      </c>
      <c r="I112" s="150"/>
      <c r="J112" s="150"/>
      <c r="K112" s="150">
        <f>0</f>
        <v>0</v>
      </c>
      <c r="L112" s="150"/>
      <c r="M112" s="150"/>
      <c r="N112" s="171">
        <v>0</v>
      </c>
      <c r="O112" s="172"/>
      <c r="P112" s="173"/>
      <c r="Q112" s="174">
        <v>0</v>
      </c>
      <c r="R112" s="174"/>
      <c r="S112" s="174"/>
      <c r="T112" s="174">
        <f>0</f>
        <v>0</v>
      </c>
      <c r="U112" s="174"/>
      <c r="V112" s="174"/>
      <c r="W112" s="58"/>
      <c r="X112" s="58"/>
      <c r="Y112" s="58"/>
      <c r="Z112" s="58"/>
      <c r="AA112" s="58"/>
      <c r="AB112" s="58"/>
    </row>
    <row r="113" spans="1:28" x14ac:dyDescent="0.25">
      <c r="A113" s="60" t="s">
        <v>111</v>
      </c>
      <c r="B113" s="190">
        <f>SUM(B108:D112)</f>
        <v>2149789.85</v>
      </c>
      <c r="C113" s="191"/>
      <c r="D113" s="192"/>
      <c r="E113" s="190">
        <f>SUM(E108:G112)</f>
        <v>2213083.38</v>
      </c>
      <c r="F113" s="191"/>
      <c r="G113" s="192"/>
      <c r="H113" s="188">
        <f>SUM(H108:J112)</f>
        <v>2184757.73</v>
      </c>
      <c r="I113" s="188"/>
      <c r="J113" s="188"/>
      <c r="K113" s="188">
        <f>SUM(K108:M112)</f>
        <v>2252455.4900000002</v>
      </c>
      <c r="L113" s="188"/>
      <c r="M113" s="188"/>
      <c r="N113" s="188">
        <f>SUM(N108:P112)</f>
        <v>2301615.87</v>
      </c>
      <c r="O113" s="188"/>
      <c r="P113" s="188"/>
      <c r="Q113" s="188">
        <f>SUM(Q108:S112)</f>
        <v>2248300.6000000006</v>
      </c>
      <c r="R113" s="188"/>
      <c r="S113" s="188"/>
      <c r="T113" s="188">
        <f>SUM(T108:V112)</f>
        <v>2182375.6800000002</v>
      </c>
      <c r="U113" s="188"/>
      <c r="V113" s="188"/>
      <c r="W113" s="58"/>
      <c r="X113" s="58"/>
      <c r="Y113" s="58"/>
      <c r="Z113" s="58"/>
      <c r="AA113" s="58"/>
      <c r="AB113" s="58"/>
    </row>
    <row r="114" spans="1:28" x14ac:dyDescent="0.25">
      <c r="A114" s="61" t="s">
        <v>112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58"/>
      <c r="R114" s="58"/>
      <c r="S114" s="62"/>
      <c r="T114" s="58"/>
      <c r="U114" s="58"/>
      <c r="V114" s="62"/>
      <c r="W114" s="58"/>
      <c r="X114" s="58"/>
      <c r="Y114" s="58"/>
      <c r="Z114" s="58"/>
      <c r="AA114" s="58"/>
      <c r="AB114" s="58"/>
    </row>
    <row r="115" spans="1:28" x14ac:dyDescent="0.25">
      <c r="A115" s="63" t="s">
        <v>113</v>
      </c>
      <c r="B115" s="62"/>
      <c r="C115" s="62"/>
      <c r="D115" s="62"/>
      <c r="E115" s="62"/>
      <c r="F115" s="62"/>
      <c r="Q115" s="58"/>
      <c r="R115" s="58"/>
      <c r="T115" s="58"/>
      <c r="U115" s="58"/>
      <c r="W115" s="58"/>
      <c r="X115" s="58"/>
      <c r="Y115" s="58"/>
      <c r="Z115" s="58"/>
      <c r="AA115" s="58"/>
      <c r="AB115" s="58"/>
    </row>
    <row r="116" spans="1:28" x14ac:dyDescent="0.25">
      <c r="A116" s="63" t="s">
        <v>114</v>
      </c>
      <c r="B116" s="62"/>
      <c r="C116" s="62"/>
      <c r="D116" s="62"/>
      <c r="E116" s="62"/>
      <c r="F116" s="62"/>
      <c r="Q116" s="58"/>
      <c r="R116" s="58"/>
      <c r="T116" s="58"/>
      <c r="U116" s="58"/>
      <c r="W116" s="58"/>
      <c r="X116" s="58"/>
      <c r="Y116" s="58"/>
      <c r="Z116" s="58"/>
      <c r="AA116" s="58"/>
      <c r="AB116" s="58"/>
    </row>
    <row r="117" spans="1:28" x14ac:dyDescent="0.25">
      <c r="A117" s="189" t="s">
        <v>115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</row>
    <row r="118" spans="1:28" x14ac:dyDescent="0.25">
      <c r="A118" s="64" t="s">
        <v>116</v>
      </c>
      <c r="B118" s="64"/>
      <c r="C118" s="64"/>
      <c r="D118" s="64"/>
      <c r="E118" s="64"/>
      <c r="F118" s="64"/>
      <c r="G118" s="62"/>
      <c r="H118" s="64"/>
      <c r="I118" s="64"/>
      <c r="J118" s="62"/>
      <c r="K118" s="64"/>
      <c r="L118" s="64"/>
      <c r="M118" s="62"/>
      <c r="N118" s="64"/>
      <c r="O118" s="64"/>
      <c r="P118" s="62"/>
      <c r="Q118" s="64"/>
      <c r="R118" s="64"/>
      <c r="S118" s="62"/>
      <c r="T118" s="64"/>
      <c r="U118" s="64"/>
      <c r="V118" s="62"/>
      <c r="W118" s="64"/>
      <c r="X118" s="64"/>
      <c r="Y118" s="64"/>
      <c r="Z118" s="64"/>
      <c r="AA118" s="64"/>
      <c r="AB118" s="64"/>
    </row>
    <row r="119" spans="1:28" x14ac:dyDescent="0.25">
      <c r="A119" s="64" t="s">
        <v>117</v>
      </c>
      <c r="B119" s="64"/>
      <c r="C119" s="64"/>
      <c r="D119" s="64"/>
      <c r="E119" s="64"/>
      <c r="F119" s="64"/>
      <c r="G119" s="62"/>
      <c r="H119" s="64"/>
      <c r="I119" s="64"/>
      <c r="J119" s="62"/>
      <c r="K119" s="64"/>
      <c r="L119" s="64"/>
      <c r="M119" s="62"/>
      <c r="N119" s="64"/>
      <c r="O119" s="64"/>
      <c r="P119" s="62"/>
      <c r="Q119" s="64"/>
      <c r="R119" s="64"/>
      <c r="S119" s="62"/>
      <c r="T119" s="64"/>
      <c r="U119" s="64"/>
      <c r="V119" s="62"/>
      <c r="W119" s="64"/>
      <c r="X119" s="64"/>
      <c r="Y119" s="64"/>
      <c r="Z119" s="64"/>
      <c r="AA119" s="64"/>
      <c r="AB119" s="64"/>
    </row>
    <row r="120" spans="1:28" x14ac:dyDescent="0.25">
      <c r="A120" s="64" t="s">
        <v>118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</row>
    <row r="121" spans="1:28" x14ac:dyDescent="0.25">
      <c r="A121" s="64" t="s">
        <v>119</v>
      </c>
    </row>
  </sheetData>
  <sheetProtection sheet="1" objects="1" scenarios="1"/>
  <mergeCells count="794">
    <mergeCell ref="T113:V113"/>
    <mergeCell ref="A117:AB117"/>
    <mergeCell ref="B113:D113"/>
    <mergeCell ref="E113:G113"/>
    <mergeCell ref="H113:J113"/>
    <mergeCell ref="K113:M113"/>
    <mergeCell ref="N113:P113"/>
    <mergeCell ref="Q113:S113"/>
    <mergeCell ref="T111:V111"/>
    <mergeCell ref="B112:D112"/>
    <mergeCell ref="E112:G112"/>
    <mergeCell ref="H112:J112"/>
    <mergeCell ref="K112:M112"/>
    <mergeCell ref="N112:P112"/>
    <mergeCell ref="Q112:S112"/>
    <mergeCell ref="T112:V112"/>
    <mergeCell ref="B111:D111"/>
    <mergeCell ref="E111:G111"/>
    <mergeCell ref="H111:J111"/>
    <mergeCell ref="K111:M111"/>
    <mergeCell ref="N111:P111"/>
    <mergeCell ref="Q111:S111"/>
    <mergeCell ref="T109:V109"/>
    <mergeCell ref="W109:AB109"/>
    <mergeCell ref="B110:D110"/>
    <mergeCell ref="E110:G110"/>
    <mergeCell ref="H110:J110"/>
    <mergeCell ref="K110:M110"/>
    <mergeCell ref="N110:P110"/>
    <mergeCell ref="Q110:S110"/>
    <mergeCell ref="T110:V110"/>
    <mergeCell ref="B109:D109"/>
    <mergeCell ref="E109:G109"/>
    <mergeCell ref="H109:J109"/>
    <mergeCell ref="K109:M109"/>
    <mergeCell ref="N109:P109"/>
    <mergeCell ref="Q109:S109"/>
    <mergeCell ref="B108:D108"/>
    <mergeCell ref="E108:G108"/>
    <mergeCell ref="H108:J108"/>
    <mergeCell ref="K108:M108"/>
    <mergeCell ref="N108:P108"/>
    <mergeCell ref="Q108:S108"/>
    <mergeCell ref="T108:V108"/>
    <mergeCell ref="Z103:AB103"/>
    <mergeCell ref="B104:D104"/>
    <mergeCell ref="Z104:AB104"/>
    <mergeCell ref="A105:AB106"/>
    <mergeCell ref="B107:D107"/>
    <mergeCell ref="E107:G107"/>
    <mergeCell ref="H107:J107"/>
    <mergeCell ref="K107:M107"/>
    <mergeCell ref="N107:P107"/>
    <mergeCell ref="Q107:S107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T107:V107"/>
    <mergeCell ref="T101:V101"/>
    <mergeCell ref="W101:Y101"/>
    <mergeCell ref="AA101:AB101"/>
    <mergeCell ref="B102:D102"/>
    <mergeCell ref="E102:G102"/>
    <mergeCell ref="H102:J102"/>
    <mergeCell ref="K102:M102"/>
    <mergeCell ref="N102:P102"/>
    <mergeCell ref="Q102:S102"/>
    <mergeCell ref="T102:V102"/>
    <mergeCell ref="B101:D101"/>
    <mergeCell ref="E101:G101"/>
    <mergeCell ref="H101:J101"/>
    <mergeCell ref="K101:M101"/>
    <mergeCell ref="N101:P101"/>
    <mergeCell ref="Q101:S101"/>
    <mergeCell ref="W102:Y102"/>
    <mergeCell ref="AA102:AB102"/>
    <mergeCell ref="B100:D100"/>
    <mergeCell ref="E100:G100"/>
    <mergeCell ref="H100:J100"/>
    <mergeCell ref="K100:M100"/>
    <mergeCell ref="N100:P100"/>
    <mergeCell ref="Q100:S100"/>
    <mergeCell ref="T100:V100"/>
    <mergeCell ref="W100:Y100"/>
    <mergeCell ref="AA100:AB100"/>
    <mergeCell ref="B99:D99"/>
    <mergeCell ref="E99:G99"/>
    <mergeCell ref="H99:J99"/>
    <mergeCell ref="K99:M99"/>
    <mergeCell ref="N99:P99"/>
    <mergeCell ref="Q99:S99"/>
    <mergeCell ref="T99:V99"/>
    <mergeCell ref="W99:Y99"/>
    <mergeCell ref="AA99:AB99"/>
    <mergeCell ref="T97:V97"/>
    <mergeCell ref="W97:Y97"/>
    <mergeCell ref="AA97:AB97"/>
    <mergeCell ref="B98:D98"/>
    <mergeCell ref="E98:G98"/>
    <mergeCell ref="H98:J98"/>
    <mergeCell ref="K98:M98"/>
    <mergeCell ref="N98:P98"/>
    <mergeCell ref="Q98:S98"/>
    <mergeCell ref="T98:V98"/>
    <mergeCell ref="B97:D97"/>
    <mergeCell ref="E97:G97"/>
    <mergeCell ref="H97:J97"/>
    <mergeCell ref="K97:M97"/>
    <mergeCell ref="N97:P97"/>
    <mergeCell ref="Q97:S97"/>
    <mergeCell ref="W98:Y98"/>
    <mergeCell ref="AA98:AB98"/>
    <mergeCell ref="B96:D96"/>
    <mergeCell ref="E96:G96"/>
    <mergeCell ref="H96:J96"/>
    <mergeCell ref="K96:M96"/>
    <mergeCell ref="N96:P96"/>
    <mergeCell ref="Q96:S96"/>
    <mergeCell ref="T96:V96"/>
    <mergeCell ref="W96:Y96"/>
    <mergeCell ref="AA96:AB96"/>
    <mergeCell ref="B95:D95"/>
    <mergeCell ref="E95:G95"/>
    <mergeCell ref="H95:J95"/>
    <mergeCell ref="K95:M95"/>
    <mergeCell ref="N95:P95"/>
    <mergeCell ref="Q95:S95"/>
    <mergeCell ref="T95:V95"/>
    <mergeCell ref="W95:Y95"/>
    <mergeCell ref="AA95:AB95"/>
    <mergeCell ref="T93:V93"/>
    <mergeCell ref="W93:Y93"/>
    <mergeCell ref="AA93:AB93"/>
    <mergeCell ref="B94:D94"/>
    <mergeCell ref="E94:G94"/>
    <mergeCell ref="H94:J94"/>
    <mergeCell ref="K94:M94"/>
    <mergeCell ref="N94:P94"/>
    <mergeCell ref="Q94:S94"/>
    <mergeCell ref="T94:V94"/>
    <mergeCell ref="B93:D93"/>
    <mergeCell ref="E93:G93"/>
    <mergeCell ref="H93:J93"/>
    <mergeCell ref="K93:M93"/>
    <mergeCell ref="N93:P93"/>
    <mergeCell ref="Q93:S93"/>
    <mergeCell ref="W94:Y94"/>
    <mergeCell ref="AA94:AB94"/>
    <mergeCell ref="B92:D92"/>
    <mergeCell ref="E92:G92"/>
    <mergeCell ref="H92:J92"/>
    <mergeCell ref="K92:M92"/>
    <mergeCell ref="N92:P92"/>
    <mergeCell ref="Q92:S92"/>
    <mergeCell ref="T92:V92"/>
    <mergeCell ref="W92:Y92"/>
    <mergeCell ref="AA92:AB92"/>
    <mergeCell ref="B91:D91"/>
    <mergeCell ref="E91:G91"/>
    <mergeCell ref="H91:J91"/>
    <mergeCell ref="K91:M91"/>
    <mergeCell ref="N91:P91"/>
    <mergeCell ref="Q91:S91"/>
    <mergeCell ref="T91:V91"/>
    <mergeCell ref="W91:Y91"/>
    <mergeCell ref="AA91:AB91"/>
    <mergeCell ref="T89:V89"/>
    <mergeCell ref="W89:Y89"/>
    <mergeCell ref="AA89:AB89"/>
    <mergeCell ref="B90:D90"/>
    <mergeCell ref="E90:G90"/>
    <mergeCell ref="H90:J90"/>
    <mergeCell ref="K90:M90"/>
    <mergeCell ref="N90:P90"/>
    <mergeCell ref="Q90:S90"/>
    <mergeCell ref="T90:V90"/>
    <mergeCell ref="B89:D89"/>
    <mergeCell ref="E89:G89"/>
    <mergeCell ref="H89:J89"/>
    <mergeCell ref="K89:M89"/>
    <mergeCell ref="N89:P89"/>
    <mergeCell ref="Q89:S89"/>
    <mergeCell ref="W90:Y90"/>
    <mergeCell ref="AA90:AB90"/>
    <mergeCell ref="B88:D88"/>
    <mergeCell ref="E88:G88"/>
    <mergeCell ref="H88:J88"/>
    <mergeCell ref="K88:M88"/>
    <mergeCell ref="N88:P88"/>
    <mergeCell ref="Q88:S88"/>
    <mergeCell ref="T88:V88"/>
    <mergeCell ref="W88:Y88"/>
    <mergeCell ref="AA88:AB88"/>
    <mergeCell ref="B87:D87"/>
    <mergeCell ref="E87:G87"/>
    <mergeCell ref="H87:J87"/>
    <mergeCell ref="K87:M87"/>
    <mergeCell ref="N87:P87"/>
    <mergeCell ref="Q87:S87"/>
    <mergeCell ref="T87:V87"/>
    <mergeCell ref="W87:Y87"/>
    <mergeCell ref="AA87:AB87"/>
    <mergeCell ref="T85:V85"/>
    <mergeCell ref="W85:Y85"/>
    <mergeCell ref="AA85:AB85"/>
    <mergeCell ref="B86:D86"/>
    <mergeCell ref="E86:G86"/>
    <mergeCell ref="H86:J86"/>
    <mergeCell ref="K86:M86"/>
    <mergeCell ref="N86:P86"/>
    <mergeCell ref="Q86:S86"/>
    <mergeCell ref="T86:V86"/>
    <mergeCell ref="B85:D85"/>
    <mergeCell ref="E85:G85"/>
    <mergeCell ref="H85:J85"/>
    <mergeCell ref="K85:M85"/>
    <mergeCell ref="N85:P85"/>
    <mergeCell ref="Q85:S85"/>
    <mergeCell ref="W86:Y86"/>
    <mergeCell ref="AA86:AB86"/>
    <mergeCell ref="B84:D84"/>
    <mergeCell ref="E84:G84"/>
    <mergeCell ref="H84:J84"/>
    <mergeCell ref="K84:M84"/>
    <mergeCell ref="N84:P84"/>
    <mergeCell ref="Q84:S84"/>
    <mergeCell ref="T84:V84"/>
    <mergeCell ref="W84:Y84"/>
    <mergeCell ref="AA84:AB84"/>
    <mergeCell ref="B83:D83"/>
    <mergeCell ref="E83:G83"/>
    <mergeCell ref="H83:J83"/>
    <mergeCell ref="K83:M83"/>
    <mergeCell ref="N83:P83"/>
    <mergeCell ref="Q83:S83"/>
    <mergeCell ref="T83:V83"/>
    <mergeCell ref="W83:Y83"/>
    <mergeCell ref="AA83:AB83"/>
    <mergeCell ref="T81:V81"/>
    <mergeCell ref="W81:Y81"/>
    <mergeCell ref="AA81:AB81"/>
    <mergeCell ref="B82:D82"/>
    <mergeCell ref="E82:G82"/>
    <mergeCell ref="H82:J82"/>
    <mergeCell ref="K82:M82"/>
    <mergeCell ref="N82:P82"/>
    <mergeCell ref="Q82:S82"/>
    <mergeCell ref="T82:V82"/>
    <mergeCell ref="B81:D81"/>
    <mergeCell ref="E81:G81"/>
    <mergeCell ref="H81:J81"/>
    <mergeCell ref="K81:M81"/>
    <mergeCell ref="N81:P81"/>
    <mergeCell ref="Q81:S81"/>
    <mergeCell ref="W82:Y82"/>
    <mergeCell ref="AA82:AB82"/>
    <mergeCell ref="B80:D80"/>
    <mergeCell ref="E80:G80"/>
    <mergeCell ref="H80:J80"/>
    <mergeCell ref="K80:M80"/>
    <mergeCell ref="N80:P80"/>
    <mergeCell ref="Q80:S80"/>
    <mergeCell ref="T80:V80"/>
    <mergeCell ref="W80:Y80"/>
    <mergeCell ref="AA80:AB80"/>
    <mergeCell ref="B79:D79"/>
    <mergeCell ref="E79:G79"/>
    <mergeCell ref="H79:J79"/>
    <mergeCell ref="K79:M79"/>
    <mergeCell ref="N79:P79"/>
    <mergeCell ref="Q79:S79"/>
    <mergeCell ref="T79:V79"/>
    <mergeCell ref="W79:Y79"/>
    <mergeCell ref="AA79:AB79"/>
    <mergeCell ref="T77:V77"/>
    <mergeCell ref="W77:Y77"/>
    <mergeCell ref="AA77:AB77"/>
    <mergeCell ref="B78:D78"/>
    <mergeCell ref="E78:G78"/>
    <mergeCell ref="H78:J78"/>
    <mergeCell ref="K78:M78"/>
    <mergeCell ref="N78:P78"/>
    <mergeCell ref="Q78:S78"/>
    <mergeCell ref="T78:V78"/>
    <mergeCell ref="B77:D77"/>
    <mergeCell ref="E77:G77"/>
    <mergeCell ref="H77:J77"/>
    <mergeCell ref="K77:M77"/>
    <mergeCell ref="N77:P77"/>
    <mergeCell ref="Q77:S77"/>
    <mergeCell ref="W78:Y78"/>
    <mergeCell ref="AA78:AB78"/>
    <mergeCell ref="B76:D76"/>
    <mergeCell ref="E76:G76"/>
    <mergeCell ref="H76:J76"/>
    <mergeCell ref="K76:M76"/>
    <mergeCell ref="N76:P76"/>
    <mergeCell ref="Q76:S76"/>
    <mergeCell ref="T76:V76"/>
    <mergeCell ref="W76:Y76"/>
    <mergeCell ref="AA76:AB76"/>
    <mergeCell ref="B75:D75"/>
    <mergeCell ref="E75:G75"/>
    <mergeCell ref="H75:J75"/>
    <mergeCell ref="K75:M75"/>
    <mergeCell ref="N75:P75"/>
    <mergeCell ref="Q75:S75"/>
    <mergeCell ref="T75:V75"/>
    <mergeCell ref="W75:Y75"/>
    <mergeCell ref="AA75:AB75"/>
    <mergeCell ref="T73:V73"/>
    <mergeCell ref="W73:Y73"/>
    <mergeCell ref="AA73:AB73"/>
    <mergeCell ref="B74:D74"/>
    <mergeCell ref="E74:G74"/>
    <mergeCell ref="H74:J74"/>
    <mergeCell ref="K74:M74"/>
    <mergeCell ref="N74:P74"/>
    <mergeCell ref="Q74:S74"/>
    <mergeCell ref="T74:V74"/>
    <mergeCell ref="B73:D73"/>
    <mergeCell ref="E73:G73"/>
    <mergeCell ref="H73:J73"/>
    <mergeCell ref="K73:M73"/>
    <mergeCell ref="N73:P73"/>
    <mergeCell ref="Q73:S73"/>
    <mergeCell ref="W74:Y74"/>
    <mergeCell ref="AA74:AB74"/>
    <mergeCell ref="B72:D72"/>
    <mergeCell ref="E72:G72"/>
    <mergeCell ref="H72:J72"/>
    <mergeCell ref="K72:M72"/>
    <mergeCell ref="N72:P72"/>
    <mergeCell ref="Q72:S72"/>
    <mergeCell ref="T72:V72"/>
    <mergeCell ref="W72:Y72"/>
    <mergeCell ref="AA72:AB72"/>
    <mergeCell ref="B71:D71"/>
    <mergeCell ref="E71:G71"/>
    <mergeCell ref="H71:J71"/>
    <mergeCell ref="K71:M71"/>
    <mergeCell ref="N71:P71"/>
    <mergeCell ref="Q71:S71"/>
    <mergeCell ref="T71:V71"/>
    <mergeCell ref="W71:Y71"/>
    <mergeCell ref="AA71:AB71"/>
    <mergeCell ref="T69:V69"/>
    <mergeCell ref="W69:Y69"/>
    <mergeCell ref="AA69:AB69"/>
    <mergeCell ref="B70:D70"/>
    <mergeCell ref="E70:G70"/>
    <mergeCell ref="H70:J70"/>
    <mergeCell ref="K70:M70"/>
    <mergeCell ref="N70:P70"/>
    <mergeCell ref="Q70:S70"/>
    <mergeCell ref="T70:V70"/>
    <mergeCell ref="B69:D69"/>
    <mergeCell ref="E69:G69"/>
    <mergeCell ref="H69:J69"/>
    <mergeCell ref="K69:M69"/>
    <mergeCell ref="N69:P69"/>
    <mergeCell ref="Q69:S69"/>
    <mergeCell ref="W70:Y70"/>
    <mergeCell ref="AA70:AB70"/>
    <mergeCell ref="B68:D68"/>
    <mergeCell ref="E68:G68"/>
    <mergeCell ref="H68:J68"/>
    <mergeCell ref="K68:M68"/>
    <mergeCell ref="N68:P68"/>
    <mergeCell ref="Q68:S68"/>
    <mergeCell ref="T68:V68"/>
    <mergeCell ref="W68:Y68"/>
    <mergeCell ref="AA68:AB68"/>
    <mergeCell ref="B67:D67"/>
    <mergeCell ref="E67:G67"/>
    <mergeCell ref="H67:J67"/>
    <mergeCell ref="K67:M67"/>
    <mergeCell ref="N67:P67"/>
    <mergeCell ref="Q67:S67"/>
    <mergeCell ref="T67:V67"/>
    <mergeCell ref="W67:Y67"/>
    <mergeCell ref="AA67:AB67"/>
    <mergeCell ref="T65:V65"/>
    <mergeCell ref="W65:Y65"/>
    <mergeCell ref="AA65:AB65"/>
    <mergeCell ref="B66:D66"/>
    <mergeCell ref="E66:G66"/>
    <mergeCell ref="H66:J66"/>
    <mergeCell ref="K66:M66"/>
    <mergeCell ref="N66:P66"/>
    <mergeCell ref="Q66:S66"/>
    <mergeCell ref="T66:V66"/>
    <mergeCell ref="B65:D65"/>
    <mergeCell ref="E65:G65"/>
    <mergeCell ref="H65:J65"/>
    <mergeCell ref="K65:M65"/>
    <mergeCell ref="N65:P65"/>
    <mergeCell ref="Q65:S65"/>
    <mergeCell ref="W66:Y66"/>
    <mergeCell ref="AA66:AB66"/>
    <mergeCell ref="B64:D64"/>
    <mergeCell ref="E64:G64"/>
    <mergeCell ref="H64:J64"/>
    <mergeCell ref="K64:M64"/>
    <mergeCell ref="N64:P64"/>
    <mergeCell ref="Q64:S64"/>
    <mergeCell ref="T64:V64"/>
    <mergeCell ref="W64:Y64"/>
    <mergeCell ref="AA64:AB64"/>
    <mergeCell ref="B63:D63"/>
    <mergeCell ref="E63:G63"/>
    <mergeCell ref="H63:J63"/>
    <mergeCell ref="K63:M63"/>
    <mergeCell ref="N63:P63"/>
    <mergeCell ref="Q63:S63"/>
    <mergeCell ref="T63:V63"/>
    <mergeCell ref="W63:Y63"/>
    <mergeCell ref="AA63:AB63"/>
    <mergeCell ref="T61:V61"/>
    <mergeCell ref="W61:Y61"/>
    <mergeCell ref="AA61:AB61"/>
    <mergeCell ref="B62:D62"/>
    <mergeCell ref="E62:G62"/>
    <mergeCell ref="H62:J62"/>
    <mergeCell ref="K62:M62"/>
    <mergeCell ref="N62:P62"/>
    <mergeCell ref="Q62:S62"/>
    <mergeCell ref="T62:V62"/>
    <mergeCell ref="B61:D61"/>
    <mergeCell ref="E61:G61"/>
    <mergeCell ref="H61:J61"/>
    <mergeCell ref="K61:M61"/>
    <mergeCell ref="N61:P61"/>
    <mergeCell ref="Q61:S61"/>
    <mergeCell ref="W62:Y62"/>
    <mergeCell ref="AA62:AB62"/>
    <mergeCell ref="B60:D60"/>
    <mergeCell ref="E60:G60"/>
    <mergeCell ref="H60:J60"/>
    <mergeCell ref="K60:M60"/>
    <mergeCell ref="N60:P60"/>
    <mergeCell ref="Q60:S60"/>
    <mergeCell ref="T60:V60"/>
    <mergeCell ref="W60:Y60"/>
    <mergeCell ref="AA60:AB60"/>
    <mergeCell ref="B59:D59"/>
    <mergeCell ref="E59:G59"/>
    <mergeCell ref="H59:J59"/>
    <mergeCell ref="K59:M59"/>
    <mergeCell ref="N59:P59"/>
    <mergeCell ref="Q59:S59"/>
    <mergeCell ref="T59:V59"/>
    <mergeCell ref="W59:Y59"/>
    <mergeCell ref="AA59:AB59"/>
    <mergeCell ref="T57:V57"/>
    <mergeCell ref="W57:Y57"/>
    <mergeCell ref="AA57:AB57"/>
    <mergeCell ref="B58:D58"/>
    <mergeCell ref="E58:G58"/>
    <mergeCell ref="H58:J58"/>
    <mergeCell ref="K58:M58"/>
    <mergeCell ref="N58:P58"/>
    <mergeCell ref="Q58:S58"/>
    <mergeCell ref="T58:V58"/>
    <mergeCell ref="B57:D57"/>
    <mergeCell ref="E57:G57"/>
    <mergeCell ref="H57:J57"/>
    <mergeCell ref="K57:M57"/>
    <mergeCell ref="N57:P57"/>
    <mergeCell ref="Q57:S57"/>
    <mergeCell ref="W58:Y58"/>
    <mergeCell ref="AA58:AB58"/>
    <mergeCell ref="B56:D56"/>
    <mergeCell ref="E56:G56"/>
    <mergeCell ref="H56:J56"/>
    <mergeCell ref="K56:M56"/>
    <mergeCell ref="N56:P56"/>
    <mergeCell ref="Q56:S56"/>
    <mergeCell ref="T56:V56"/>
    <mergeCell ref="W56:Y56"/>
    <mergeCell ref="AA56:AB56"/>
    <mergeCell ref="B55:D55"/>
    <mergeCell ref="E55:G55"/>
    <mergeCell ref="H55:J55"/>
    <mergeCell ref="K55:M55"/>
    <mergeCell ref="N55:P55"/>
    <mergeCell ref="Q55:S55"/>
    <mergeCell ref="T55:V55"/>
    <mergeCell ref="W55:Y55"/>
    <mergeCell ref="AA55:AB55"/>
    <mergeCell ref="T53:V53"/>
    <mergeCell ref="W53:Y53"/>
    <mergeCell ref="AA53:AB53"/>
    <mergeCell ref="B54:D54"/>
    <mergeCell ref="E54:G54"/>
    <mergeCell ref="H54:J54"/>
    <mergeCell ref="K54:M54"/>
    <mergeCell ref="N54:P54"/>
    <mergeCell ref="Q54:S54"/>
    <mergeCell ref="T54:V54"/>
    <mergeCell ref="B53:D53"/>
    <mergeCell ref="E53:G53"/>
    <mergeCell ref="H53:J53"/>
    <mergeCell ref="K53:M53"/>
    <mergeCell ref="N53:P53"/>
    <mergeCell ref="Q53:S53"/>
    <mergeCell ref="W54:Y54"/>
    <mergeCell ref="AA54:AB54"/>
    <mergeCell ref="B52:D52"/>
    <mergeCell ref="E52:G52"/>
    <mergeCell ref="H52:J52"/>
    <mergeCell ref="K52:M52"/>
    <mergeCell ref="N52:P52"/>
    <mergeCell ref="Q52:S52"/>
    <mergeCell ref="T52:V52"/>
    <mergeCell ref="W52:Y52"/>
    <mergeCell ref="AA52:AB52"/>
    <mergeCell ref="B51:D51"/>
    <mergeCell ref="E51:G51"/>
    <mergeCell ref="H51:J51"/>
    <mergeCell ref="K51:M51"/>
    <mergeCell ref="N51:P51"/>
    <mergeCell ref="Q51:S51"/>
    <mergeCell ref="T51:V51"/>
    <mergeCell ref="W51:Y51"/>
    <mergeCell ref="AA51:AB51"/>
    <mergeCell ref="T49:V49"/>
    <mergeCell ref="W49:Y49"/>
    <mergeCell ref="AA49:AB49"/>
    <mergeCell ref="B50:D50"/>
    <mergeCell ref="E50:G50"/>
    <mergeCell ref="H50:J50"/>
    <mergeCell ref="K50:M50"/>
    <mergeCell ref="N50:P50"/>
    <mergeCell ref="Q50:S50"/>
    <mergeCell ref="T50:V50"/>
    <mergeCell ref="B49:D49"/>
    <mergeCell ref="E49:G49"/>
    <mergeCell ref="H49:J49"/>
    <mergeCell ref="K49:M49"/>
    <mergeCell ref="N49:P49"/>
    <mergeCell ref="Q49:S49"/>
    <mergeCell ref="W50:Y50"/>
    <mergeCell ref="AA50:AB50"/>
    <mergeCell ref="B48:D48"/>
    <mergeCell ref="E48:G48"/>
    <mergeCell ref="H48:J48"/>
    <mergeCell ref="K48:M48"/>
    <mergeCell ref="N48:P48"/>
    <mergeCell ref="Q48:S48"/>
    <mergeCell ref="T48:V48"/>
    <mergeCell ref="W48:Y48"/>
    <mergeCell ref="AA48:AB48"/>
    <mergeCell ref="B47:D47"/>
    <mergeCell ref="E47:G47"/>
    <mergeCell ref="H47:J47"/>
    <mergeCell ref="K47:M47"/>
    <mergeCell ref="N47:P47"/>
    <mergeCell ref="Q47:S47"/>
    <mergeCell ref="T47:V47"/>
    <mergeCell ref="W47:Y47"/>
    <mergeCell ref="AA47:AB47"/>
    <mergeCell ref="T45:V45"/>
    <mergeCell ref="W45:Y45"/>
    <mergeCell ref="AA45:AB45"/>
    <mergeCell ref="B46:D46"/>
    <mergeCell ref="E46:G46"/>
    <mergeCell ref="H46:J46"/>
    <mergeCell ref="K46:M46"/>
    <mergeCell ref="N46:P46"/>
    <mergeCell ref="Q46:S46"/>
    <mergeCell ref="T46:V46"/>
    <mergeCell ref="B45:D45"/>
    <mergeCell ref="E45:G45"/>
    <mergeCell ref="H45:J45"/>
    <mergeCell ref="K45:M45"/>
    <mergeCell ref="N45:P45"/>
    <mergeCell ref="Q45:S45"/>
    <mergeCell ref="W46:Y46"/>
    <mergeCell ref="AA46:AB46"/>
    <mergeCell ref="B44:D44"/>
    <mergeCell ref="E44:G44"/>
    <mergeCell ref="H44:J44"/>
    <mergeCell ref="K44:M44"/>
    <mergeCell ref="N44:P44"/>
    <mergeCell ref="Q44:S44"/>
    <mergeCell ref="T44:V44"/>
    <mergeCell ref="W44:Y44"/>
    <mergeCell ref="AA44:AB44"/>
    <mergeCell ref="B43:D43"/>
    <mergeCell ref="E43:G43"/>
    <mergeCell ref="H43:J43"/>
    <mergeCell ref="K43:M43"/>
    <mergeCell ref="N43:P43"/>
    <mergeCell ref="Q43:S43"/>
    <mergeCell ref="T43:V43"/>
    <mergeCell ref="W43:Y43"/>
    <mergeCell ref="AA43:AB43"/>
    <mergeCell ref="T41:V41"/>
    <mergeCell ref="W41:Y41"/>
    <mergeCell ref="AA41:AB41"/>
    <mergeCell ref="B42:D42"/>
    <mergeCell ref="E42:G42"/>
    <mergeCell ref="H42:J42"/>
    <mergeCell ref="K42:M42"/>
    <mergeCell ref="N42:P42"/>
    <mergeCell ref="Q42:S42"/>
    <mergeCell ref="T42:V42"/>
    <mergeCell ref="B41:D41"/>
    <mergeCell ref="E41:G41"/>
    <mergeCell ref="H41:J41"/>
    <mergeCell ref="K41:M41"/>
    <mergeCell ref="N41:P41"/>
    <mergeCell ref="Q41:S41"/>
    <mergeCell ref="W42:Y42"/>
    <mergeCell ref="AA42:AB42"/>
    <mergeCell ref="B40:D40"/>
    <mergeCell ref="E40:G40"/>
    <mergeCell ref="H40:J40"/>
    <mergeCell ref="K40:M40"/>
    <mergeCell ref="N40:P40"/>
    <mergeCell ref="Q40:S40"/>
    <mergeCell ref="T40:V40"/>
    <mergeCell ref="W40:Y40"/>
    <mergeCell ref="AA40:AB40"/>
    <mergeCell ref="B39:D39"/>
    <mergeCell ref="E39:G39"/>
    <mergeCell ref="H39:J39"/>
    <mergeCell ref="K39:M39"/>
    <mergeCell ref="N39:P39"/>
    <mergeCell ref="Q39:S39"/>
    <mergeCell ref="T39:V39"/>
    <mergeCell ref="W39:Y39"/>
    <mergeCell ref="AA39:AB39"/>
    <mergeCell ref="T37:V37"/>
    <mergeCell ref="W37:Y37"/>
    <mergeCell ref="AA37:AB37"/>
    <mergeCell ref="B38:D38"/>
    <mergeCell ref="E38:G38"/>
    <mergeCell ref="H38:J38"/>
    <mergeCell ref="K38:M38"/>
    <mergeCell ref="N38:P38"/>
    <mergeCell ref="Q38:S38"/>
    <mergeCell ref="T38:V38"/>
    <mergeCell ref="B37:D37"/>
    <mergeCell ref="E37:G37"/>
    <mergeCell ref="H37:J37"/>
    <mergeCell ref="K37:M37"/>
    <mergeCell ref="N37:P37"/>
    <mergeCell ref="Q37:S37"/>
    <mergeCell ref="W38:Y38"/>
    <mergeCell ref="AA38:AB38"/>
    <mergeCell ref="B36:D36"/>
    <mergeCell ref="E36:G36"/>
    <mergeCell ref="H36:J36"/>
    <mergeCell ref="K36:M36"/>
    <mergeCell ref="N36:P36"/>
    <mergeCell ref="Q36:S36"/>
    <mergeCell ref="T36:V36"/>
    <mergeCell ref="W36:Y36"/>
    <mergeCell ref="AA36:AB36"/>
    <mergeCell ref="B35:D35"/>
    <mergeCell ref="E35:G35"/>
    <mergeCell ref="H35:J35"/>
    <mergeCell ref="K35:M35"/>
    <mergeCell ref="N35:P35"/>
    <mergeCell ref="Q35:S35"/>
    <mergeCell ref="T35:V35"/>
    <mergeCell ref="W35:Y35"/>
    <mergeCell ref="AA35:AB35"/>
    <mergeCell ref="T33:V33"/>
    <mergeCell ref="W33:Y33"/>
    <mergeCell ref="AA33:AB33"/>
    <mergeCell ref="B34:D34"/>
    <mergeCell ref="E34:G34"/>
    <mergeCell ref="H34:J34"/>
    <mergeCell ref="K34:M34"/>
    <mergeCell ref="N34:P34"/>
    <mergeCell ref="Q34:S34"/>
    <mergeCell ref="T34:V34"/>
    <mergeCell ref="B33:D33"/>
    <mergeCell ref="E33:G33"/>
    <mergeCell ref="H33:J33"/>
    <mergeCell ref="K33:M33"/>
    <mergeCell ref="N33:P33"/>
    <mergeCell ref="Q33:S33"/>
    <mergeCell ref="W34:Y34"/>
    <mergeCell ref="AA34:AB34"/>
    <mergeCell ref="A31:AB31"/>
    <mergeCell ref="B32:D32"/>
    <mergeCell ref="E32:G32"/>
    <mergeCell ref="H32:J32"/>
    <mergeCell ref="K32:M32"/>
    <mergeCell ref="N32:P32"/>
    <mergeCell ref="Q32:S32"/>
    <mergeCell ref="T32:V32"/>
    <mergeCell ref="W32:Y32"/>
    <mergeCell ref="AA32:AB32"/>
    <mergeCell ref="N27:O27"/>
    <mergeCell ref="Q27:R27"/>
    <mergeCell ref="T27:U27"/>
    <mergeCell ref="W27:X27"/>
    <mergeCell ref="A28:AB29"/>
    <mergeCell ref="A30:AB30"/>
    <mergeCell ref="B25:C25"/>
    <mergeCell ref="B26:C26"/>
    <mergeCell ref="B27:C27"/>
    <mergeCell ref="E27:F27"/>
    <mergeCell ref="H27:I27"/>
    <mergeCell ref="K27:L27"/>
    <mergeCell ref="W21:Y21"/>
    <mergeCell ref="Z21:Z22"/>
    <mergeCell ref="AA21:AB21"/>
    <mergeCell ref="B22:C22"/>
    <mergeCell ref="B23:C23"/>
    <mergeCell ref="B24:C24"/>
    <mergeCell ref="Z18:AB18"/>
    <mergeCell ref="A19:AB20"/>
    <mergeCell ref="A21:A22"/>
    <mergeCell ref="B21:D21"/>
    <mergeCell ref="E21:G21"/>
    <mergeCell ref="H21:J21"/>
    <mergeCell ref="K21:M21"/>
    <mergeCell ref="N21:P21"/>
    <mergeCell ref="Q21:S21"/>
    <mergeCell ref="T21:V21"/>
    <mergeCell ref="B18:D18"/>
    <mergeCell ref="E18:G18"/>
    <mergeCell ref="N18:P18"/>
    <mergeCell ref="Q18:S18"/>
    <mergeCell ref="T18:V18"/>
    <mergeCell ref="W18:Y18"/>
    <mergeCell ref="Z16:AB16"/>
    <mergeCell ref="B17:D17"/>
    <mergeCell ref="E17:G17"/>
    <mergeCell ref="N17:P17"/>
    <mergeCell ref="Q17:S17"/>
    <mergeCell ref="T17:V17"/>
    <mergeCell ref="W17:Y17"/>
    <mergeCell ref="Z17:AB17"/>
    <mergeCell ref="B16:D16"/>
    <mergeCell ref="E16:G16"/>
    <mergeCell ref="N16:P16"/>
    <mergeCell ref="Q16:S16"/>
    <mergeCell ref="T16:V16"/>
    <mergeCell ref="W16:Y16"/>
    <mergeCell ref="Z14:AB14"/>
    <mergeCell ref="B15:D15"/>
    <mergeCell ref="E15:G15"/>
    <mergeCell ref="K15:M15"/>
    <mergeCell ref="N15:P15"/>
    <mergeCell ref="Q15:S15"/>
    <mergeCell ref="T15:V15"/>
    <mergeCell ref="W15:Y15"/>
    <mergeCell ref="Z15:AB15"/>
    <mergeCell ref="B14:D14"/>
    <mergeCell ref="E14:G14"/>
    <mergeCell ref="N14:P14"/>
    <mergeCell ref="Q14:S14"/>
    <mergeCell ref="T14:V14"/>
    <mergeCell ref="W14:Y14"/>
    <mergeCell ref="Z12:AB12"/>
    <mergeCell ref="B13:D13"/>
    <mergeCell ref="E13:G13"/>
    <mergeCell ref="N13:P13"/>
    <mergeCell ref="Q13:S13"/>
    <mergeCell ref="T13:V13"/>
    <mergeCell ref="W13:Y13"/>
    <mergeCell ref="Z13:AB13"/>
    <mergeCell ref="Q11:S11"/>
    <mergeCell ref="T11:V11"/>
    <mergeCell ref="W11:Y11"/>
    <mergeCell ref="Z11:AB11"/>
    <mergeCell ref="B12:D12"/>
    <mergeCell ref="E12:G12"/>
    <mergeCell ref="N12:P12"/>
    <mergeCell ref="Q12:S12"/>
    <mergeCell ref="T12:V12"/>
    <mergeCell ref="W12:Y12"/>
    <mergeCell ref="A1:AB4"/>
    <mergeCell ref="A5:AB6"/>
    <mergeCell ref="A7:AB8"/>
    <mergeCell ref="A9:AB9"/>
    <mergeCell ref="A10:AB10"/>
    <mergeCell ref="B11:D11"/>
    <mergeCell ref="E11:G11"/>
    <mergeCell ref="H11:J11"/>
    <mergeCell ref="K11:M11"/>
    <mergeCell ref="N11:P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cp:lastPrinted>2020-07-13T22:51:51Z</cp:lastPrinted>
  <dcterms:created xsi:type="dcterms:W3CDTF">2020-07-13T22:50:13Z</dcterms:created>
  <dcterms:modified xsi:type="dcterms:W3CDTF">2020-07-16T20:32:21Z</dcterms:modified>
</cp:coreProperties>
</file>