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dos\Desktop\FINANCEIRO\05. FINANCEIRO\2020\05. MAI\Histórico Mensal\"/>
    </mc:Choice>
  </mc:AlternateContent>
  <xr:revisionPtr revIDLastSave="0" documentId="8_{53842D9B-708E-4FE9-90E2-C0767EB18955}" xr6:coauthVersionLast="45" xr6:coauthVersionMax="45" xr10:uidLastSave="{00000000-0000-0000-0000-000000000000}"/>
  <bookViews>
    <workbookView xWindow="-120" yWindow="-120" windowWidth="20730" windowHeight="11160" xr2:uid="{888C7AAD-B415-4CDE-A4E5-80F7795B7ADF}"/>
  </bookViews>
  <sheets>
    <sheet name="M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2" i="1" l="1"/>
  <c r="E112" i="1"/>
  <c r="H111" i="1"/>
  <c r="K111" i="1" s="1"/>
  <c r="N111" i="1" s="1"/>
  <c r="Q111" i="1" s="1"/>
  <c r="E111" i="1"/>
  <c r="N110" i="1"/>
  <c r="Q110" i="1" s="1"/>
  <c r="H109" i="1"/>
  <c r="K109" i="1" s="1"/>
  <c r="N109" i="1" s="1"/>
  <c r="Q109" i="1" s="1"/>
  <c r="E109" i="1"/>
  <c r="B108" i="1"/>
  <c r="E108" i="1" s="1"/>
  <c r="E113" i="1" s="1"/>
  <c r="K101" i="1"/>
  <c r="E101" i="1"/>
  <c r="T100" i="1"/>
  <c r="X100" i="1" s="1"/>
  <c r="X99" i="1"/>
  <c r="K99" i="1"/>
  <c r="T99" i="1" s="1"/>
  <c r="X98" i="1"/>
  <c r="K98" i="1"/>
  <c r="T98" i="1" s="1"/>
  <c r="K97" i="1"/>
  <c r="H97" i="1"/>
  <c r="E97" i="1"/>
  <c r="T96" i="1"/>
  <c r="X96" i="1" s="1"/>
  <c r="H96" i="1"/>
  <c r="K95" i="1"/>
  <c r="K94" i="1" s="1"/>
  <c r="H95" i="1"/>
  <c r="Q94" i="1"/>
  <c r="N94" i="1"/>
  <c r="H94" i="1"/>
  <c r="B94" i="1"/>
  <c r="X93" i="1"/>
  <c r="T93" i="1"/>
  <c r="T92" i="1"/>
  <c r="X92" i="1" s="1"/>
  <c r="K92" i="1"/>
  <c r="E92" i="1"/>
  <c r="H91" i="1"/>
  <c r="T91" i="1" s="1"/>
  <c r="Q90" i="1"/>
  <c r="E90" i="1"/>
  <c r="T90" i="1" s="1"/>
  <c r="X90" i="1" s="1"/>
  <c r="B90" i="1"/>
  <c r="B89" i="1" s="1"/>
  <c r="Q89" i="1"/>
  <c r="N89" i="1"/>
  <c r="K89" i="1"/>
  <c r="E89" i="1"/>
  <c r="T88" i="1"/>
  <c r="X88" i="1" s="1"/>
  <c r="Q88" i="1"/>
  <c r="K88" i="1"/>
  <c r="E88" i="1"/>
  <c r="T87" i="1"/>
  <c r="X87" i="1" s="1"/>
  <c r="Q87" i="1"/>
  <c r="K87" i="1"/>
  <c r="E87" i="1"/>
  <c r="Q86" i="1"/>
  <c r="K86" i="1"/>
  <c r="K83" i="1" s="1"/>
  <c r="H86" i="1"/>
  <c r="H83" i="1" s="1"/>
  <c r="E86" i="1"/>
  <c r="T86" i="1" s="1"/>
  <c r="T85" i="1"/>
  <c r="X85" i="1" s="1"/>
  <c r="T84" i="1"/>
  <c r="Q83" i="1"/>
  <c r="N83" i="1"/>
  <c r="E83" i="1"/>
  <c r="B83" i="1"/>
  <c r="Q82" i="1"/>
  <c r="N82" i="1"/>
  <c r="K82" i="1"/>
  <c r="H82" i="1"/>
  <c r="E82" i="1"/>
  <c r="T82" i="1" s="1"/>
  <c r="Q81" i="1"/>
  <c r="N81" i="1"/>
  <c r="K81" i="1"/>
  <c r="H81" i="1"/>
  <c r="E81" i="1"/>
  <c r="T81" i="1" s="1"/>
  <c r="X80" i="1"/>
  <c r="T80" i="1"/>
  <c r="E79" i="1"/>
  <c r="T79" i="1" s="1"/>
  <c r="X79" i="1" s="1"/>
  <c r="H78" i="1"/>
  <c r="E78" i="1"/>
  <c r="T78" i="1" s="1"/>
  <c r="X78" i="1" s="1"/>
  <c r="T77" i="1"/>
  <c r="K76" i="1"/>
  <c r="H76" i="1"/>
  <c r="E76" i="1"/>
  <c r="T76" i="1" s="1"/>
  <c r="X76" i="1" s="1"/>
  <c r="Q75" i="1"/>
  <c r="N75" i="1"/>
  <c r="K75" i="1"/>
  <c r="H75" i="1"/>
  <c r="E75" i="1"/>
  <c r="T75" i="1" s="1"/>
  <c r="Q74" i="1"/>
  <c r="N74" i="1"/>
  <c r="K74" i="1"/>
  <c r="K68" i="1" s="1"/>
  <c r="H74" i="1"/>
  <c r="T74" i="1" s="1"/>
  <c r="E74" i="1"/>
  <c r="Q73" i="1"/>
  <c r="Q68" i="1" s="1"/>
  <c r="H73" i="1"/>
  <c r="E73" i="1"/>
  <c r="X72" i="1"/>
  <c r="T72" i="1"/>
  <c r="T71" i="1"/>
  <c r="K71" i="1"/>
  <c r="H71" i="1"/>
  <c r="E71" i="1"/>
  <c r="X70" i="1"/>
  <c r="T70" i="1"/>
  <c r="X69" i="1"/>
  <c r="T69" i="1"/>
  <c r="N68" i="1"/>
  <c r="B68" i="1"/>
  <c r="N67" i="1"/>
  <c r="N63" i="1" s="1"/>
  <c r="H67" i="1"/>
  <c r="E67" i="1"/>
  <c r="T67" i="1" s="1"/>
  <c r="Q66" i="1"/>
  <c r="N66" i="1"/>
  <c r="K66" i="1"/>
  <c r="H66" i="1"/>
  <c r="E66" i="1"/>
  <c r="T66" i="1" s="1"/>
  <c r="Q65" i="1"/>
  <c r="N65" i="1"/>
  <c r="K65" i="1"/>
  <c r="H65" i="1"/>
  <c r="E65" i="1"/>
  <c r="T65" i="1" s="1"/>
  <c r="Q64" i="1"/>
  <c r="N64" i="1"/>
  <c r="K64" i="1"/>
  <c r="K63" i="1" s="1"/>
  <c r="H64" i="1"/>
  <c r="T64" i="1" s="1"/>
  <c r="E64" i="1"/>
  <c r="Q63" i="1"/>
  <c r="B63" i="1"/>
  <c r="T62" i="1"/>
  <c r="X62" i="1" s="1"/>
  <c r="N61" i="1"/>
  <c r="T61" i="1" s="1"/>
  <c r="T60" i="1"/>
  <c r="X60" i="1" s="1"/>
  <c r="T59" i="1"/>
  <c r="X58" i="1"/>
  <c r="Q58" i="1"/>
  <c r="T58" i="1" s="1"/>
  <c r="Q57" i="1"/>
  <c r="N57" i="1"/>
  <c r="K57" i="1"/>
  <c r="H57" i="1"/>
  <c r="E57" i="1"/>
  <c r="T57" i="1" s="1"/>
  <c r="X57" i="1" s="1"/>
  <c r="Q56" i="1"/>
  <c r="N56" i="1"/>
  <c r="K56" i="1"/>
  <c r="H56" i="1"/>
  <c r="E56" i="1"/>
  <c r="Q55" i="1"/>
  <c r="Q50" i="1" s="1"/>
  <c r="N55" i="1"/>
  <c r="N50" i="1" s="1"/>
  <c r="K55" i="1"/>
  <c r="H55" i="1"/>
  <c r="E55" i="1"/>
  <c r="X54" i="1"/>
  <c r="T54" i="1"/>
  <c r="Q53" i="1"/>
  <c r="N53" i="1"/>
  <c r="K53" i="1"/>
  <c r="H53" i="1"/>
  <c r="H50" i="1" s="1"/>
  <c r="E53" i="1"/>
  <c r="T52" i="1"/>
  <c r="T51" i="1"/>
  <c r="X51" i="1" s="1"/>
  <c r="E50" i="1"/>
  <c r="B50" i="1"/>
  <c r="T49" i="1"/>
  <c r="X49" i="1" s="1"/>
  <c r="X48" i="1"/>
  <c r="T48" i="1"/>
  <c r="X47" i="1"/>
  <c r="X46" i="1" s="1"/>
  <c r="T47" i="1"/>
  <c r="T46" i="1"/>
  <c r="Q46" i="1"/>
  <c r="N46" i="1"/>
  <c r="K46" i="1"/>
  <c r="H46" i="1"/>
  <c r="E46" i="1"/>
  <c r="B46" i="1"/>
  <c r="X45" i="1"/>
  <c r="T45" i="1"/>
  <c r="T44" i="1"/>
  <c r="X44" i="1" s="1"/>
  <c r="B44" i="1"/>
  <c r="T43" i="1"/>
  <c r="X43" i="1" s="1"/>
  <c r="Q43" i="1"/>
  <c r="N43" i="1"/>
  <c r="B43" i="1"/>
  <c r="T42" i="1"/>
  <c r="Q42" i="1"/>
  <c r="N42" i="1"/>
  <c r="K42" i="1"/>
  <c r="H42" i="1"/>
  <c r="E42" i="1"/>
  <c r="B42" i="1"/>
  <c r="T41" i="1"/>
  <c r="X41" i="1" s="1"/>
  <c r="B41" i="1"/>
  <c r="T40" i="1"/>
  <c r="X40" i="1" s="1"/>
  <c r="B40" i="1"/>
  <c r="T39" i="1"/>
  <c r="X39" i="1" s="1"/>
  <c r="B39" i="1"/>
  <c r="N38" i="1"/>
  <c r="K38" i="1"/>
  <c r="H38" i="1"/>
  <c r="T38" i="1" s="1"/>
  <c r="Q37" i="1"/>
  <c r="N37" i="1"/>
  <c r="K37" i="1"/>
  <c r="H37" i="1"/>
  <c r="Q36" i="1"/>
  <c r="N36" i="1"/>
  <c r="K36" i="1"/>
  <c r="H36" i="1"/>
  <c r="T36" i="1" s="1"/>
  <c r="E36" i="1"/>
  <c r="Q35" i="1"/>
  <c r="N35" i="1"/>
  <c r="K35" i="1"/>
  <c r="E35" i="1"/>
  <c r="T35" i="1" s="1"/>
  <c r="T34" i="1"/>
  <c r="X34" i="1" s="1"/>
  <c r="B34" i="1"/>
  <c r="B33" i="1" s="1"/>
  <c r="Q33" i="1"/>
  <c r="K33" i="1"/>
  <c r="E33" i="1"/>
  <c r="S27" i="1"/>
  <c r="B27" i="1"/>
  <c r="T27" i="1" s="1"/>
  <c r="Y26" i="1"/>
  <c r="V26" i="1"/>
  <c r="D26" i="1"/>
  <c r="S25" i="1"/>
  <c r="P25" i="1"/>
  <c r="M25" i="1"/>
  <c r="J25" i="1"/>
  <c r="G25" i="1"/>
  <c r="D25" i="1"/>
  <c r="U24" i="1"/>
  <c r="T24" i="1"/>
  <c r="X24" i="1" s="1"/>
  <c r="X27" i="1" s="1"/>
  <c r="S24" i="1"/>
  <c r="P24" i="1"/>
  <c r="M24" i="1"/>
  <c r="V24" i="1" s="1"/>
  <c r="J24" i="1"/>
  <c r="J27" i="1" s="1"/>
  <c r="G24" i="1"/>
  <c r="G27" i="1" s="1"/>
  <c r="E24" i="1"/>
  <c r="D24" i="1"/>
  <c r="Y23" i="1"/>
  <c r="D23" i="1"/>
  <c r="B17" i="1"/>
  <c r="B16" i="1"/>
  <c r="B18" i="1" s="1"/>
  <c r="B15" i="1"/>
  <c r="B14" i="1"/>
  <c r="B13" i="1"/>
  <c r="B12" i="1" s="1"/>
  <c r="W12" i="1"/>
  <c r="T12" i="1"/>
  <c r="X61" i="1" l="1"/>
  <c r="X86" i="1"/>
  <c r="K102" i="1"/>
  <c r="X35" i="1"/>
  <c r="X42" i="1"/>
  <c r="X64" i="1"/>
  <c r="T63" i="1"/>
  <c r="X65" i="1"/>
  <c r="X82" i="1"/>
  <c r="T68" i="1"/>
  <c r="V27" i="1"/>
  <c r="Y24" i="1"/>
  <c r="X81" i="1"/>
  <c r="X36" i="1"/>
  <c r="X38" i="1"/>
  <c r="X66" i="1"/>
  <c r="X74" i="1"/>
  <c r="X75" i="1"/>
  <c r="K50" i="1"/>
  <c r="E68" i="1"/>
  <c r="T73" i="1"/>
  <c r="H89" i="1"/>
  <c r="T95" i="1"/>
  <c r="E27" i="1"/>
  <c r="H27" i="1" s="1"/>
  <c r="K27" i="1" s="1"/>
  <c r="N27" i="1" s="1"/>
  <c r="Q27" i="1" s="1"/>
  <c r="M27" i="1"/>
  <c r="T33" i="1"/>
  <c r="T37" i="1"/>
  <c r="X52" i="1"/>
  <c r="T55" i="1"/>
  <c r="H63" i="1"/>
  <c r="H68" i="1"/>
  <c r="X71" i="1"/>
  <c r="T83" i="1"/>
  <c r="X91" i="1"/>
  <c r="X89" i="1" s="1"/>
  <c r="T97" i="1"/>
  <c r="E94" i="1"/>
  <c r="T53" i="1"/>
  <c r="X67" i="1"/>
  <c r="Q102" i="1"/>
  <c r="Q103" i="1" s="1"/>
  <c r="N33" i="1"/>
  <c r="N102" i="1" s="1"/>
  <c r="T56" i="1"/>
  <c r="E63" i="1"/>
  <c r="E102" i="1" s="1"/>
  <c r="E103" i="1" s="1"/>
  <c r="T89" i="1"/>
  <c r="H108" i="1"/>
  <c r="P27" i="1"/>
  <c r="N103" i="1" s="1"/>
  <c r="V25" i="1"/>
  <c r="D27" i="1"/>
  <c r="B103" i="1" s="1"/>
  <c r="H33" i="1"/>
  <c r="X59" i="1"/>
  <c r="X77" i="1"/>
  <c r="X84" i="1"/>
  <c r="X83" i="1" s="1"/>
  <c r="T101" i="1"/>
  <c r="B113" i="1"/>
  <c r="X53" i="1" l="1"/>
  <c r="X50" i="1" s="1"/>
  <c r="X55" i="1"/>
  <c r="W27" i="1"/>
  <c r="W26" i="1"/>
  <c r="T16" i="1"/>
  <c r="W25" i="1"/>
  <c r="Y25" i="1"/>
  <c r="K103" i="1"/>
  <c r="T50" i="1"/>
  <c r="X101" i="1"/>
  <c r="X56" i="1"/>
  <c r="X97" i="1"/>
  <c r="X37" i="1"/>
  <c r="X33" i="1" s="1"/>
  <c r="X73" i="1"/>
  <c r="X68" i="1" s="1"/>
  <c r="Y27" i="1"/>
  <c r="H102" i="1"/>
  <c r="H103" i="1" s="1"/>
  <c r="H113" i="1"/>
  <c r="K108" i="1"/>
  <c r="X95" i="1"/>
  <c r="T94" i="1"/>
  <c r="W24" i="1"/>
  <c r="X63" i="1"/>
  <c r="W16" i="1" l="1"/>
  <c r="T102" i="1"/>
  <c r="X94" i="1"/>
  <c r="X102" i="1"/>
  <c r="W17" i="1" s="1"/>
  <c r="N108" i="1"/>
  <c r="K113" i="1"/>
  <c r="W103" i="1" l="1"/>
  <c r="W18" i="1"/>
  <c r="T17" i="1"/>
  <c r="T18" i="1" s="1"/>
  <c r="W69" i="1"/>
  <c r="W47" i="1"/>
  <c r="W98" i="1"/>
  <c r="W76" i="1"/>
  <c r="W72" i="1"/>
  <c r="W54" i="1"/>
  <c r="W102" i="1"/>
  <c r="W93" i="1"/>
  <c r="W58" i="1"/>
  <c r="W67" i="1"/>
  <c r="W61" i="1"/>
  <c r="W65" i="1"/>
  <c r="W99" i="1"/>
  <c r="W41" i="1"/>
  <c r="W71" i="1"/>
  <c r="W34" i="1"/>
  <c r="W44" i="1"/>
  <c r="W59" i="1"/>
  <c r="W92" i="1"/>
  <c r="W85" i="1"/>
  <c r="W91" i="1"/>
  <c r="W86" i="1"/>
  <c r="W35" i="1"/>
  <c r="W64" i="1"/>
  <c r="W38" i="1"/>
  <c r="W74" i="1"/>
  <c r="W42" i="1"/>
  <c r="W49" i="1"/>
  <c r="W62" i="1"/>
  <c r="W77" i="1"/>
  <c r="W88" i="1"/>
  <c r="W87" i="1"/>
  <c r="W39" i="1"/>
  <c r="W70" i="1"/>
  <c r="W82" i="1"/>
  <c r="W46" i="1"/>
  <c r="W57" i="1"/>
  <c r="W79" i="1"/>
  <c r="W40" i="1"/>
  <c r="W78" i="1"/>
  <c r="W90" i="1"/>
  <c r="W60" i="1"/>
  <c r="W96" i="1"/>
  <c r="W48" i="1"/>
  <c r="W52" i="1"/>
  <c r="W81" i="1"/>
  <c r="W36" i="1"/>
  <c r="W66" i="1"/>
  <c r="W75" i="1"/>
  <c r="W43" i="1"/>
  <c r="W84" i="1"/>
  <c r="W100" i="1"/>
  <c r="W51" i="1"/>
  <c r="W80" i="1"/>
  <c r="W68" i="1"/>
  <c r="W89" i="1"/>
  <c r="W97" i="1"/>
  <c r="W73" i="1"/>
  <c r="W95" i="1"/>
  <c r="W63" i="1"/>
  <c r="W101" i="1"/>
  <c r="W37" i="1"/>
  <c r="W55" i="1"/>
  <c r="W53" i="1"/>
  <c r="W83" i="1"/>
  <c r="W33" i="1"/>
  <c r="T103" i="1"/>
  <c r="W45" i="1" s="1"/>
  <c r="W56" i="1"/>
  <c r="W50" i="1"/>
  <c r="Q108" i="1"/>
  <c r="Q113" i="1" s="1"/>
  <c r="N113" i="1"/>
  <c r="W94" i="1"/>
</calcChain>
</file>

<file path=xl/sharedStrings.xml><?xml version="1.0" encoding="utf-8"?>
<sst xmlns="http://schemas.openxmlformats.org/spreadsheetml/2006/main" count="155" uniqueCount="118">
  <si>
    <r>
      <t xml:space="preserve">CONTROLE FINANCEIRO 2020
</t>
    </r>
    <r>
      <rPr>
        <b/>
        <sz val="12"/>
        <rFont val="Calibri"/>
        <family val="2"/>
        <scheme val="minor"/>
      </rPr>
      <t>Posição MAIO</t>
    </r>
  </si>
  <si>
    <t>DETALHAMENTO DE BENS E RECEITAS</t>
  </si>
  <si>
    <t>Bens da ANIPA</t>
  </si>
  <si>
    <t>Acumulado 2019</t>
  </si>
  <si>
    <t>JAN</t>
  </si>
  <si>
    <t>FEV</t>
  </si>
  <si>
    <t>MAR</t>
  </si>
  <si>
    <t>ABR</t>
  </si>
  <si>
    <t>MAI</t>
  </si>
  <si>
    <t>Acumulado 2020</t>
  </si>
  <si>
    <t>Evolução histórica</t>
  </si>
  <si>
    <t xml:space="preserve">Total bens </t>
  </si>
  <si>
    <t>Imobilizado (computadores, equipamentos)</t>
  </si>
  <si>
    <t>Intangível (softwares)</t>
  </si>
  <si>
    <t>(-) Depreciação acumulada</t>
  </si>
  <si>
    <t>Receitas</t>
  </si>
  <si>
    <t>Despesas</t>
  </si>
  <si>
    <t>Total Parcial e Acumulado</t>
  </si>
  <si>
    <t>Associados / Receitas</t>
  </si>
  <si>
    <t>%</t>
  </si>
  <si>
    <t>Q</t>
  </si>
  <si>
    <t>Valor</t>
  </si>
  <si>
    <t>S</t>
  </si>
  <si>
    <t>E</t>
  </si>
  <si>
    <t>Receitas anteriores / Associados</t>
  </si>
  <si>
    <t>Associados / Mensalidades</t>
  </si>
  <si>
    <t>Receitas Financeiras</t>
  </si>
  <si>
    <t xml:space="preserve">Outras Receitas </t>
  </si>
  <si>
    <t>Total Associados / Receitas</t>
  </si>
  <si>
    <t>DETALHAMENTO DE DESPESAS</t>
  </si>
  <si>
    <t>Serviços de Terceiros</t>
  </si>
  <si>
    <t>Serviços administrativos Advogados</t>
  </si>
  <si>
    <t>Assessoria Jurídica</t>
  </si>
  <si>
    <t xml:space="preserve">Serviços Contábeis </t>
  </si>
  <si>
    <t>Assessoria Atuarial</t>
  </si>
  <si>
    <t>Consultoria/Assessoria Técnica (Fin, Cont, TI)</t>
  </si>
  <si>
    <t>Telemarketing (associados regular termos)</t>
  </si>
  <si>
    <t>Assessoria Comunicação</t>
  </si>
  <si>
    <t xml:space="preserve">Serviços eventuais de apoio </t>
  </si>
  <si>
    <t>Custos das Ações</t>
  </si>
  <si>
    <r>
      <t>Honorários Advocatícios Iniciais Ações</t>
    </r>
    <r>
      <rPr>
        <sz val="8"/>
        <rFont val="Calibri"/>
        <family val="2"/>
        <scheme val="minor"/>
      </rPr>
      <t xml:space="preserve"> (5)</t>
    </r>
  </si>
  <si>
    <t>Honorários mensais das ações</t>
  </si>
  <si>
    <t>Taxas de ajuizamento de ações</t>
  </si>
  <si>
    <t>Registros/Cartórios/Publicações</t>
  </si>
  <si>
    <t>Registros e Taxas(Cart, Pref, RF...)</t>
  </si>
  <si>
    <t>Cartórios (Aut, Doc, Rec Firma)</t>
  </si>
  <si>
    <t>Publicações Legais/Editais</t>
  </si>
  <si>
    <t>Tecnologia</t>
  </si>
  <si>
    <t>Desenvolvimento/Hospedagem SITE e Sistema inicial</t>
  </si>
  <si>
    <t>Desenvolvimento novo SITE</t>
  </si>
  <si>
    <t xml:space="preserve">Hospedagem/Manutenção novo SITE </t>
  </si>
  <si>
    <t xml:space="preserve">Desenvolvimento novo Sistema ANIPA </t>
  </si>
  <si>
    <t xml:space="preserve">Hospedagem / Manutenção novo Sistema ANIPA </t>
  </si>
  <si>
    <t>Serviço de E-mail</t>
  </si>
  <si>
    <r>
      <t xml:space="preserve">Serviço de Mensagens por celular </t>
    </r>
    <r>
      <rPr>
        <sz val="8"/>
        <rFont val="Calibri"/>
        <family val="2"/>
        <scheme val="minor"/>
      </rPr>
      <t>(3)</t>
    </r>
  </si>
  <si>
    <t>Desenv/Serviço Sist Assembleia Virtual</t>
  </si>
  <si>
    <t>Desenv/Serviço Sist Eleição Virtual</t>
  </si>
  <si>
    <t>Desenv/Serviço Fórum Site ANIPA</t>
  </si>
  <si>
    <t>Registro Domínio ANIPA</t>
  </si>
  <si>
    <t>Certificado Segurança SITE / Certificado Digital</t>
  </si>
  <si>
    <t>Bancos/Impostos/Juros</t>
  </si>
  <si>
    <t>Tarifas Bancárias CAIXA</t>
  </si>
  <si>
    <r>
      <t>Impostos recolhidos à terceiros (INSS, IR, CONTR. FEDER...)</t>
    </r>
    <r>
      <rPr>
        <sz val="8"/>
        <rFont val="Calibri"/>
        <family val="2"/>
        <scheme val="minor"/>
      </rPr>
      <t>(2)</t>
    </r>
  </si>
  <si>
    <t>IRRF/IOF operações financeiras (sobre os investimentos)</t>
  </si>
  <si>
    <t>Despesas com Juros/Outras despesas financeiras</t>
  </si>
  <si>
    <t xml:space="preserve">Escritório ANIPA </t>
  </si>
  <si>
    <t>Móveis/Utensílios</t>
  </si>
  <si>
    <t>Computadores 3, impressoras 1, celular 1</t>
  </si>
  <si>
    <t>Softwares (Office, Antivírus, Adobe mensal)</t>
  </si>
  <si>
    <t>Assinatura de jornais, revistas, publicações</t>
  </si>
  <si>
    <t>Material Escritório</t>
  </si>
  <si>
    <t xml:space="preserve">Aluguel/Condomínio/IPTU/Taxas </t>
  </si>
  <si>
    <t xml:space="preserve">Luz/Telefone/Internet </t>
  </si>
  <si>
    <t>Diversos (café, água, copos, chaves, etc.)</t>
  </si>
  <si>
    <t>Manutenção (de computadores, impressora)</t>
  </si>
  <si>
    <t>Higiene e Limpeza (material e serviço)</t>
  </si>
  <si>
    <t>Reforma escritório</t>
  </si>
  <si>
    <t>Serviço de Seleção e Recrutamento</t>
  </si>
  <si>
    <t>Salários (mês, 13°, férias, rescisão)</t>
  </si>
  <si>
    <r>
      <t>Encargos trabalhistas (INSS, FGTS, PIS, Transp, Alim, Sind)</t>
    </r>
    <r>
      <rPr>
        <sz val="8"/>
        <rFont val="Calibri"/>
        <family val="2"/>
        <scheme val="minor"/>
      </rPr>
      <t xml:space="preserve"> (2)</t>
    </r>
  </si>
  <si>
    <t>Outros Serviços</t>
  </si>
  <si>
    <t>Serv. Gráficos/Digitalizações/Cópias</t>
  </si>
  <si>
    <t>Serviços MSN/Telefonia</t>
  </si>
  <si>
    <t>Motoboy</t>
  </si>
  <si>
    <t>Correios</t>
  </si>
  <si>
    <t>Deslocamento (para serviços externos)</t>
  </si>
  <si>
    <t>Outros</t>
  </si>
  <si>
    <t>Locação sala Eventos/Assembleia/Equipamentos/Hotel</t>
  </si>
  <si>
    <t>Apoio a mobilizações</t>
  </si>
  <si>
    <t>Devoluções/Recebimentos indevidos</t>
  </si>
  <si>
    <t>Participações em outras associações</t>
  </si>
  <si>
    <t>Despesas Viagens</t>
  </si>
  <si>
    <t>Presidência</t>
  </si>
  <si>
    <t>Jurídico</t>
  </si>
  <si>
    <t>Financeiro</t>
  </si>
  <si>
    <t>Técnico</t>
  </si>
  <si>
    <t>Comunicação</t>
  </si>
  <si>
    <t>Conselho Fiscal</t>
  </si>
  <si>
    <r>
      <t xml:space="preserve">Associados / Prestador de serviço / Funcionários </t>
    </r>
    <r>
      <rPr>
        <sz val="8"/>
        <rFont val="Calibri"/>
        <family val="2"/>
        <scheme val="minor"/>
      </rPr>
      <t>(1)</t>
    </r>
  </si>
  <si>
    <t>Total Despesas</t>
  </si>
  <si>
    <t>Resultado / Saldo em Conta</t>
  </si>
  <si>
    <t>Despesas Acumuladas até 2019</t>
  </si>
  <si>
    <t>Investimentos</t>
  </si>
  <si>
    <t>Acumulado até 2019</t>
  </si>
  <si>
    <t>Caixa FIC GIRO EMPRESAS</t>
  </si>
  <si>
    <t>Caixa FIC PREMIUM</t>
  </si>
  <si>
    <t xml:space="preserve">Caixa FIC SIGMA </t>
  </si>
  <si>
    <t>CDB Flex Empresarial</t>
  </si>
  <si>
    <r>
      <t>Bolsa Americana Multimercado (encerrado)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(4)</t>
    </r>
  </si>
  <si>
    <t>Saldos totais</t>
  </si>
  <si>
    <t>Evolução histórica desde a fundação - MAR/2015</t>
  </si>
  <si>
    <r>
      <t xml:space="preserve">Q - </t>
    </r>
    <r>
      <rPr>
        <sz val="10"/>
        <color theme="1"/>
        <rFont val="Calibri"/>
        <family val="2"/>
        <scheme val="minor"/>
      </rPr>
      <t>Quantidade acumulada</t>
    </r>
  </si>
  <si>
    <r>
      <t xml:space="preserve">E - </t>
    </r>
    <r>
      <rPr>
        <sz val="10"/>
        <color theme="1"/>
        <rFont val="Calibri"/>
        <family val="2"/>
        <scheme val="minor"/>
      </rPr>
      <t>Entraram na ANIPA</t>
    </r>
  </si>
  <si>
    <t>(1) A serviço ou representação da ANIPA.</t>
  </si>
  <si>
    <t>(2) Pagamento em duplicidade de algumas DARFs</t>
  </si>
  <si>
    <t>(3) Pagamento em atraso mensalidade de dez/2019</t>
  </si>
  <si>
    <t xml:space="preserve">(4) Investimento realizado indevidamente pela agência bancária, sem anuência da ANIPA. Valor integral da  aplicação devolvido mediante crédito em conta. </t>
  </si>
  <si>
    <t>(5) Ajuizamento de Ação Quórum Qualificado no valor de R$ 50.000,00 em 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</si>
</sst>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0B0B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4A7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9ECA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9" fillId="7" borderId="7" xfId="0" applyFont="1" applyFill="1" applyBorder="1" applyAlignment="1">
      <alignment vertical="center"/>
    </xf>
    <xf numFmtId="4" fontId="8" fillId="7" borderId="5" xfId="0" applyNumberFormat="1" applyFont="1" applyFill="1" applyBorder="1" applyAlignment="1">
      <alignment horizontal="right"/>
    </xf>
    <xf numFmtId="4" fontId="8" fillId="7" borderId="4" xfId="0" applyNumberFormat="1" applyFont="1" applyFill="1" applyBorder="1" applyAlignment="1">
      <alignment horizontal="right"/>
    </xf>
    <xf numFmtId="4" fontId="8" fillId="7" borderId="6" xfId="0" applyNumberFormat="1" applyFont="1" applyFill="1" applyBorder="1" applyAlignment="1">
      <alignment horizontal="right"/>
    </xf>
    <xf numFmtId="0" fontId="8" fillId="8" borderId="5" xfId="0" applyFont="1" applyFill="1" applyBorder="1" applyAlignment="1">
      <alignment horizontal="right"/>
    </xf>
    <xf numFmtId="0" fontId="8" fillId="8" borderId="4" xfId="0" applyFont="1" applyFill="1" applyBorder="1" applyAlignment="1">
      <alignment horizontal="right"/>
    </xf>
    <xf numFmtId="0" fontId="8" fillId="8" borderId="6" xfId="0" applyFont="1" applyFill="1" applyBorder="1" applyAlignment="1">
      <alignment horizontal="right"/>
    </xf>
    <xf numFmtId="0" fontId="8" fillId="8" borderId="5" xfId="0" applyFont="1" applyFill="1" applyBorder="1" applyAlignment="1">
      <alignment horizontal="right"/>
    </xf>
    <xf numFmtId="0" fontId="8" fillId="8" borderId="4" xfId="0" applyFont="1" applyFill="1" applyBorder="1" applyAlignment="1">
      <alignment horizontal="right"/>
    </xf>
    <xf numFmtId="0" fontId="8" fillId="8" borderId="6" xfId="0" applyFont="1" applyFill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4" fontId="9" fillId="9" borderId="1" xfId="0" applyNumberFormat="1" applyFont="1" applyFill="1" applyBorder="1" applyAlignment="1">
      <alignment horizontal="right"/>
    </xf>
    <xf numFmtId="0" fontId="6" fillId="8" borderId="1" xfId="0" applyFont="1" applyFill="1" applyBorder="1"/>
    <xf numFmtId="4" fontId="10" fillId="7" borderId="5" xfId="0" applyNumberFormat="1" applyFont="1" applyFill="1" applyBorder="1" applyAlignment="1">
      <alignment horizontal="right"/>
    </xf>
    <xf numFmtId="4" fontId="10" fillId="7" borderId="4" xfId="0" applyNumberFormat="1" applyFont="1" applyFill="1" applyBorder="1" applyAlignment="1">
      <alignment horizontal="right"/>
    </xf>
    <xf numFmtId="4" fontId="10" fillId="7" borderId="6" xfId="0" applyNumberFormat="1" applyFont="1" applyFill="1" applyBorder="1" applyAlignment="1">
      <alignment horizontal="right"/>
    </xf>
    <xf numFmtId="3" fontId="10" fillId="8" borderId="5" xfId="0" applyNumberFormat="1" applyFont="1" applyFill="1" applyBorder="1" applyAlignment="1">
      <alignment horizontal="right"/>
    </xf>
    <xf numFmtId="3" fontId="10" fillId="8" borderId="4" xfId="0" applyNumberFormat="1" applyFont="1" applyFill="1" applyBorder="1" applyAlignment="1">
      <alignment horizontal="right"/>
    </xf>
    <xf numFmtId="3" fontId="10" fillId="8" borderId="6" xfId="0" applyNumberFormat="1" applyFont="1" applyFill="1" applyBorder="1" applyAlignment="1">
      <alignment horizontal="right"/>
    </xf>
    <xf numFmtId="3" fontId="10" fillId="8" borderId="5" xfId="0" applyNumberFormat="1" applyFont="1" applyFill="1" applyBorder="1" applyAlignment="1">
      <alignment horizontal="right"/>
    </xf>
    <xf numFmtId="3" fontId="10" fillId="8" borderId="4" xfId="0" applyNumberFormat="1" applyFont="1" applyFill="1" applyBorder="1" applyAlignment="1">
      <alignment horizontal="right"/>
    </xf>
    <xf numFmtId="3" fontId="10" fillId="8" borderId="6" xfId="0" applyNumberFormat="1" applyFont="1" applyFill="1" applyBorder="1" applyAlignment="1">
      <alignment horizontal="right"/>
    </xf>
    <xf numFmtId="4" fontId="6" fillId="8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 vertical="center" wrapText="1"/>
    </xf>
    <xf numFmtId="3" fontId="10" fillId="8" borderId="5" xfId="0" applyNumberFormat="1" applyFont="1" applyFill="1" applyBorder="1" applyAlignment="1">
      <alignment horizontal="center"/>
    </xf>
    <xf numFmtId="3" fontId="10" fillId="8" borderId="4" xfId="0" applyNumberFormat="1" applyFont="1" applyFill="1" applyBorder="1" applyAlignment="1">
      <alignment horizontal="center"/>
    </xf>
    <xf numFmtId="3" fontId="10" fillId="8" borderId="6" xfId="0" applyNumberFormat="1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4" fontId="10" fillId="10" borderId="5" xfId="0" applyNumberFormat="1" applyFont="1" applyFill="1" applyBorder="1" applyAlignment="1">
      <alignment horizontal="right"/>
    </xf>
    <xf numFmtId="4" fontId="10" fillId="10" borderId="4" xfId="0" applyNumberFormat="1" applyFont="1" applyFill="1" applyBorder="1" applyAlignment="1">
      <alignment horizontal="right"/>
    </xf>
    <xf numFmtId="4" fontId="10" fillId="10" borderId="6" xfId="0" applyNumberFormat="1" applyFont="1" applyFill="1" applyBorder="1" applyAlignment="1">
      <alignment horizontal="right"/>
    </xf>
    <xf numFmtId="3" fontId="10" fillId="10" borderId="5" xfId="0" applyNumberFormat="1" applyFont="1" applyFill="1" applyBorder="1" applyAlignment="1">
      <alignment horizontal="right"/>
    </xf>
    <xf numFmtId="3" fontId="10" fillId="10" borderId="4" xfId="0" applyNumberFormat="1" applyFont="1" applyFill="1" applyBorder="1" applyAlignment="1">
      <alignment horizontal="right"/>
    </xf>
    <xf numFmtId="3" fontId="10" fillId="10" borderId="6" xfId="0" applyNumberFormat="1" applyFont="1" applyFill="1" applyBorder="1" applyAlignment="1">
      <alignment horizontal="right"/>
    </xf>
    <xf numFmtId="3" fontId="10" fillId="10" borderId="5" xfId="0" applyNumberFormat="1" applyFont="1" applyFill="1" applyBorder="1" applyAlignment="1">
      <alignment horizontal="right"/>
    </xf>
    <xf numFmtId="3" fontId="10" fillId="10" borderId="4" xfId="0" applyNumberFormat="1" applyFont="1" applyFill="1" applyBorder="1" applyAlignment="1">
      <alignment horizontal="right"/>
    </xf>
    <xf numFmtId="3" fontId="10" fillId="10" borderId="6" xfId="0" applyNumberFormat="1" applyFont="1" applyFill="1" applyBorder="1" applyAlignment="1">
      <alignment horizontal="right"/>
    </xf>
    <xf numFmtId="3" fontId="10" fillId="10" borderId="5" xfId="0" applyNumberFormat="1" applyFont="1" applyFill="1" applyBorder="1" applyAlignment="1">
      <alignment horizontal="center"/>
    </xf>
    <xf numFmtId="3" fontId="10" fillId="10" borderId="4" xfId="0" applyNumberFormat="1" applyFont="1" applyFill="1" applyBorder="1" applyAlignment="1">
      <alignment horizontal="center"/>
    </xf>
    <xf numFmtId="3" fontId="10" fillId="10" borderId="6" xfId="0" applyNumberFormat="1" applyFont="1" applyFill="1" applyBorder="1" applyAlignment="1">
      <alignment horizontal="center"/>
    </xf>
    <xf numFmtId="4" fontId="6" fillId="10" borderId="1" xfId="0" applyNumberFormat="1" applyFont="1" applyFill="1" applyBorder="1" applyAlignment="1">
      <alignment horizontal="right" vertical="center" wrapText="1"/>
    </xf>
    <xf numFmtId="0" fontId="9" fillId="11" borderId="1" xfId="0" applyFont="1" applyFill="1" applyBorder="1" applyAlignment="1">
      <alignment horizontal="center"/>
    </xf>
    <xf numFmtId="4" fontId="10" fillId="11" borderId="5" xfId="0" applyNumberFormat="1" applyFont="1" applyFill="1" applyBorder="1" applyAlignment="1">
      <alignment horizontal="right"/>
    </xf>
    <xf numFmtId="4" fontId="10" fillId="11" borderId="4" xfId="0" applyNumberFormat="1" applyFont="1" applyFill="1" applyBorder="1" applyAlignment="1">
      <alignment horizontal="right"/>
    </xf>
    <xf numFmtId="4" fontId="10" fillId="11" borderId="6" xfId="0" applyNumberFormat="1" applyFont="1" applyFill="1" applyBorder="1" applyAlignment="1">
      <alignment horizontal="right"/>
    </xf>
    <xf numFmtId="3" fontId="8" fillId="11" borderId="5" xfId="0" applyNumberFormat="1" applyFont="1" applyFill="1" applyBorder="1" applyAlignment="1">
      <alignment horizontal="right"/>
    </xf>
    <xf numFmtId="3" fontId="8" fillId="11" borderId="4" xfId="0" applyNumberFormat="1" applyFont="1" applyFill="1" applyBorder="1" applyAlignment="1">
      <alignment horizontal="right"/>
    </xf>
    <xf numFmtId="3" fontId="8" fillId="11" borderId="6" xfId="0" applyNumberFormat="1" applyFont="1" applyFill="1" applyBorder="1" applyAlignment="1">
      <alignment horizontal="right"/>
    </xf>
    <xf numFmtId="3" fontId="8" fillId="11" borderId="5" xfId="0" applyNumberFormat="1" applyFont="1" applyFill="1" applyBorder="1" applyAlignment="1">
      <alignment horizontal="right"/>
    </xf>
    <xf numFmtId="3" fontId="8" fillId="11" borderId="4" xfId="0" applyNumberFormat="1" applyFont="1" applyFill="1" applyBorder="1" applyAlignment="1">
      <alignment horizontal="right"/>
    </xf>
    <xf numFmtId="3" fontId="8" fillId="11" borderId="6" xfId="0" applyNumberFormat="1" applyFont="1" applyFill="1" applyBorder="1" applyAlignment="1">
      <alignment horizontal="right"/>
    </xf>
    <xf numFmtId="3" fontId="8" fillId="11" borderId="5" xfId="0" applyNumberFormat="1" applyFont="1" applyFill="1" applyBorder="1" applyAlignment="1">
      <alignment horizontal="center"/>
    </xf>
    <xf numFmtId="3" fontId="8" fillId="11" borderId="4" xfId="0" applyNumberFormat="1" applyFont="1" applyFill="1" applyBorder="1" applyAlignment="1">
      <alignment horizontal="center"/>
    </xf>
    <xf numFmtId="3" fontId="8" fillId="11" borderId="6" xfId="0" applyNumberFormat="1" applyFont="1" applyFill="1" applyBorder="1" applyAlignment="1">
      <alignment horizontal="center"/>
    </xf>
    <xf numFmtId="4" fontId="6" fillId="11" borderId="1" xfId="0" applyNumberFormat="1" applyFont="1" applyFill="1" applyBorder="1" applyAlignment="1">
      <alignment horizontal="right"/>
    </xf>
    <xf numFmtId="4" fontId="9" fillId="10" borderId="5" xfId="0" applyNumberFormat="1" applyFont="1" applyFill="1" applyBorder="1" applyAlignment="1">
      <alignment horizontal="right" vertical="center" wrapText="1"/>
    </xf>
    <xf numFmtId="4" fontId="9" fillId="10" borderId="4" xfId="0" applyNumberFormat="1" applyFont="1" applyFill="1" applyBorder="1" applyAlignment="1">
      <alignment horizontal="right" vertical="center" wrapText="1"/>
    </xf>
    <xf numFmtId="4" fontId="9" fillId="10" borderId="6" xfId="0" applyNumberFormat="1" applyFont="1" applyFill="1" applyBorder="1" applyAlignment="1">
      <alignment horizontal="right" vertical="center" wrapText="1"/>
    </xf>
    <xf numFmtId="0" fontId="9" fillId="10" borderId="5" xfId="0" applyFont="1" applyFill="1" applyBorder="1" applyAlignment="1">
      <alignment horizontal="right" vertical="center" wrapText="1"/>
    </xf>
    <xf numFmtId="0" fontId="9" fillId="10" borderId="4" xfId="0" applyFont="1" applyFill="1" applyBorder="1" applyAlignment="1">
      <alignment horizontal="right" vertical="center" wrapText="1"/>
    </xf>
    <xf numFmtId="0" fontId="9" fillId="10" borderId="6" xfId="0" applyFont="1" applyFill="1" applyBorder="1" applyAlignment="1">
      <alignment horizontal="right" vertical="center" wrapText="1"/>
    </xf>
    <xf numFmtId="0" fontId="9" fillId="10" borderId="5" xfId="0" applyFont="1" applyFill="1" applyBorder="1" applyAlignment="1">
      <alignment horizontal="right" vertical="center" wrapText="1"/>
    </xf>
    <xf numFmtId="0" fontId="9" fillId="10" borderId="4" xfId="0" applyFont="1" applyFill="1" applyBorder="1" applyAlignment="1">
      <alignment horizontal="right" vertical="center" wrapText="1"/>
    </xf>
    <xf numFmtId="0" fontId="9" fillId="10" borderId="6" xfId="0" applyFont="1" applyFill="1" applyBorder="1" applyAlignment="1">
      <alignment horizontal="right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4" fontId="9" fillId="10" borderId="1" xfId="0" applyNumberFormat="1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 vertical="center" wrapText="1"/>
    </xf>
    <xf numFmtId="3" fontId="10" fillId="7" borderId="5" xfId="0" applyNumberFormat="1" applyFont="1" applyFill="1" applyBorder="1" applyAlignment="1">
      <alignment horizontal="center"/>
    </xf>
    <xf numFmtId="3" fontId="10" fillId="7" borderId="6" xfId="0" applyNumberFormat="1" applyFont="1" applyFill="1" applyBorder="1" applyAlignment="1">
      <alignment horizontal="center"/>
    </xf>
    <xf numFmtId="164" fontId="10" fillId="7" borderId="1" xfId="0" applyNumberFormat="1" applyFont="1" applyFill="1" applyBorder="1" applyAlignment="1">
      <alignment horizontal="right"/>
    </xf>
    <xf numFmtId="3" fontId="10" fillId="7" borderId="1" xfId="0" applyNumberFormat="1" applyFont="1" applyFill="1" applyBorder="1"/>
    <xf numFmtId="0" fontId="6" fillId="7" borderId="1" xfId="0" applyFont="1" applyFill="1" applyBorder="1"/>
    <xf numFmtId="164" fontId="10" fillId="7" borderId="1" xfId="0" applyNumberFormat="1" applyFont="1" applyFill="1" applyBorder="1"/>
    <xf numFmtId="10" fontId="11" fillId="7" borderId="1" xfId="0" applyNumberFormat="1" applyFont="1" applyFill="1" applyBorder="1"/>
    <xf numFmtId="3" fontId="6" fillId="13" borderId="1" xfId="0" applyNumberFormat="1" applyFont="1" applyFill="1" applyBorder="1"/>
    <xf numFmtId="164" fontId="6" fillId="13" borderId="1" xfId="0" applyNumberFormat="1" applyFont="1" applyFill="1" applyBorder="1"/>
    <xf numFmtId="164" fontId="10" fillId="8" borderId="1" xfId="0" applyNumberFormat="1" applyFont="1" applyFill="1" applyBorder="1" applyAlignment="1">
      <alignment horizontal="right"/>
    </xf>
    <xf numFmtId="10" fontId="11" fillId="8" borderId="1" xfId="0" applyNumberFormat="1" applyFont="1" applyFill="1" applyBorder="1"/>
    <xf numFmtId="3" fontId="6" fillId="8" borderId="1" xfId="0" applyNumberFormat="1" applyFont="1" applyFill="1" applyBorder="1"/>
    <xf numFmtId="164" fontId="6" fillId="8" borderId="1" xfId="0" applyNumberFormat="1" applyFont="1" applyFill="1" applyBorder="1"/>
    <xf numFmtId="0" fontId="10" fillId="8" borderId="1" xfId="0" applyFont="1" applyFill="1" applyBorder="1"/>
    <xf numFmtId="0" fontId="6" fillId="13" borderId="1" xfId="0" applyFont="1" applyFill="1" applyBorder="1"/>
    <xf numFmtId="0" fontId="9" fillId="14" borderId="1" xfId="0" applyFont="1" applyFill="1" applyBorder="1"/>
    <xf numFmtId="3" fontId="8" fillId="14" borderId="5" xfId="0" applyNumberFormat="1" applyFont="1" applyFill="1" applyBorder="1" applyAlignment="1">
      <alignment horizontal="center"/>
    </xf>
    <xf numFmtId="3" fontId="8" fillId="14" borderId="6" xfId="0" applyNumberFormat="1" applyFont="1" applyFill="1" applyBorder="1" applyAlignment="1">
      <alignment horizontal="center"/>
    </xf>
    <xf numFmtId="40" fontId="8" fillId="14" borderId="1" xfId="0" applyNumberFormat="1" applyFont="1" applyFill="1" applyBorder="1"/>
    <xf numFmtId="3" fontId="8" fillId="14" borderId="1" xfId="0" applyNumberFormat="1" applyFont="1" applyFill="1" applyBorder="1" applyAlignment="1">
      <alignment horizontal="center"/>
    </xf>
    <xf numFmtId="38" fontId="8" fillId="14" borderId="5" xfId="0" applyNumberFormat="1" applyFont="1" applyFill="1" applyBorder="1" applyAlignment="1">
      <alignment horizontal="center"/>
    </xf>
    <xf numFmtId="38" fontId="8" fillId="14" borderId="6" xfId="0" applyNumberFormat="1" applyFont="1" applyFill="1" applyBorder="1" applyAlignment="1">
      <alignment horizontal="center"/>
    </xf>
    <xf numFmtId="10" fontId="12" fillId="14" borderId="1" xfId="0" applyNumberFormat="1" applyFont="1" applyFill="1" applyBorder="1"/>
    <xf numFmtId="165" fontId="9" fillId="6" borderId="1" xfId="0" applyNumberFormat="1" applyFont="1" applyFill="1" applyBorder="1" applyAlignment="1">
      <alignment horizontal="right"/>
    </xf>
    <xf numFmtId="40" fontId="9" fillId="6" borderId="1" xfId="0" applyNumberFormat="1" applyFont="1" applyFill="1" applyBorder="1"/>
    <xf numFmtId="0" fontId="10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 applyProtection="1">
      <alignment horizontal="center"/>
      <protection locked="0"/>
    </xf>
    <xf numFmtId="4" fontId="8" fillId="12" borderId="1" xfId="0" applyNumberFormat="1" applyFont="1" applyFill="1" applyBorder="1" applyAlignment="1">
      <alignment horizontal="right"/>
    </xf>
    <xf numFmtId="4" fontId="9" fillId="12" borderId="5" xfId="0" applyNumberFormat="1" applyFont="1" applyFill="1" applyBorder="1" applyAlignment="1">
      <alignment horizontal="right"/>
    </xf>
    <xf numFmtId="4" fontId="9" fillId="12" borderId="4" xfId="0" applyNumberFormat="1" applyFont="1" applyFill="1" applyBorder="1" applyAlignment="1">
      <alignment horizontal="right"/>
    </xf>
    <xf numFmtId="4" fontId="9" fillId="12" borderId="6" xfId="0" applyNumberFormat="1" applyFont="1" applyFill="1" applyBorder="1" applyAlignment="1">
      <alignment horizontal="right"/>
    </xf>
    <xf numFmtId="10" fontId="8" fillId="12" borderId="1" xfId="0" applyNumberFormat="1" applyFont="1" applyFill="1" applyBorder="1" applyAlignment="1">
      <alignment horizontal="right"/>
    </xf>
    <xf numFmtId="4" fontId="8" fillId="9" borderId="1" xfId="0" applyNumberFormat="1" applyFont="1" applyFill="1" applyBorder="1" applyAlignment="1">
      <alignment horizontal="right"/>
    </xf>
    <xf numFmtId="0" fontId="10" fillId="8" borderId="1" xfId="0" applyFont="1" applyFill="1" applyBorder="1" applyProtection="1">
      <protection locked="0"/>
    </xf>
    <xf numFmtId="4" fontId="10" fillId="7" borderId="1" xfId="0" applyNumberFormat="1" applyFont="1" applyFill="1" applyBorder="1" applyAlignment="1">
      <alignment horizontal="right"/>
    </xf>
    <xf numFmtId="10" fontId="10" fillId="8" borderId="1" xfId="0" applyNumberFormat="1" applyFont="1" applyFill="1" applyBorder="1" applyAlignment="1">
      <alignment horizontal="right"/>
    </xf>
    <xf numFmtId="4" fontId="10" fillId="8" borderId="1" xfId="0" applyNumberFormat="1" applyFont="1" applyFill="1" applyBorder="1" applyAlignment="1">
      <alignment horizontal="right"/>
    </xf>
    <xf numFmtId="0" fontId="6" fillId="0" borderId="1" xfId="0" applyFont="1" applyBorder="1" applyProtection="1">
      <protection locked="0"/>
    </xf>
    <xf numFmtId="4" fontId="10" fillId="8" borderId="5" xfId="0" applyNumberFormat="1" applyFont="1" applyFill="1" applyBorder="1" applyAlignment="1">
      <alignment horizontal="right"/>
    </xf>
    <xf numFmtId="4" fontId="10" fillId="8" borderId="4" xfId="0" applyNumberFormat="1" applyFont="1" applyFill="1" applyBorder="1" applyAlignment="1">
      <alignment horizontal="right"/>
    </xf>
    <xf numFmtId="4" fontId="10" fillId="8" borderId="6" xfId="0" applyNumberFormat="1" applyFont="1" applyFill="1" applyBorder="1" applyAlignment="1">
      <alignment horizontal="right"/>
    </xf>
    <xf numFmtId="2" fontId="6" fillId="7" borderId="1" xfId="0" applyNumberFormat="1" applyFont="1" applyFill="1" applyBorder="1" applyAlignment="1">
      <alignment horizontal="right"/>
    </xf>
    <xf numFmtId="0" fontId="10" fillId="8" borderId="1" xfId="0" applyFont="1" applyFill="1" applyBorder="1" applyAlignment="1" applyProtection="1">
      <alignment horizontal="left"/>
      <protection locked="0"/>
    </xf>
    <xf numFmtId="4" fontId="8" fillId="12" borderId="5" xfId="0" applyNumberFormat="1" applyFont="1" applyFill="1" applyBorder="1" applyAlignment="1">
      <alignment horizontal="right"/>
    </xf>
    <xf numFmtId="4" fontId="8" fillId="12" borderId="4" xfId="0" applyNumberFormat="1" applyFont="1" applyFill="1" applyBorder="1" applyAlignment="1">
      <alignment horizontal="right"/>
    </xf>
    <xf numFmtId="4" fontId="8" fillId="12" borderId="6" xfId="0" applyNumberFormat="1" applyFont="1" applyFill="1" applyBorder="1" applyAlignment="1">
      <alignment horizontal="right"/>
    </xf>
    <xf numFmtId="10" fontId="10" fillId="8" borderId="1" xfId="1" applyNumberFormat="1" applyFont="1" applyFill="1" applyBorder="1" applyAlignment="1">
      <alignment horizontal="right"/>
    </xf>
    <xf numFmtId="0" fontId="9" fillId="3" borderId="1" xfId="0" applyFont="1" applyFill="1" applyBorder="1" applyAlignment="1" applyProtection="1">
      <alignment horizontal="center"/>
      <protection locked="0"/>
    </xf>
    <xf numFmtId="4" fontId="9" fillId="3" borderId="5" xfId="0" applyNumberFormat="1" applyFont="1" applyFill="1" applyBorder="1" applyAlignment="1">
      <alignment horizontal="right"/>
    </xf>
    <xf numFmtId="4" fontId="9" fillId="3" borderId="4" xfId="0" applyNumberFormat="1" applyFont="1" applyFill="1" applyBorder="1" applyAlignment="1">
      <alignment horizontal="right"/>
    </xf>
    <xf numFmtId="4" fontId="9" fillId="3" borderId="6" xfId="0" applyNumberFormat="1" applyFont="1" applyFill="1" applyBorder="1" applyAlignment="1">
      <alignment horizontal="right"/>
    </xf>
    <xf numFmtId="10" fontId="9" fillId="3" borderId="1" xfId="0" applyNumberFormat="1" applyFont="1" applyFill="1" applyBorder="1" applyAlignment="1">
      <alignment horizontal="right"/>
    </xf>
    <xf numFmtId="4" fontId="9" fillId="6" borderId="1" xfId="0" applyNumberFormat="1" applyFont="1" applyFill="1" applyBorder="1" applyAlignment="1">
      <alignment horizontal="right"/>
    </xf>
    <xf numFmtId="0" fontId="8" fillId="14" borderId="1" xfId="0" applyFont="1" applyFill="1" applyBorder="1" applyAlignment="1" applyProtection="1">
      <alignment horizontal="center"/>
      <protection locked="0"/>
    </xf>
    <xf numFmtId="4" fontId="8" fillId="14" borderId="5" xfId="0" applyNumberFormat="1" applyFont="1" applyFill="1" applyBorder="1" applyAlignment="1">
      <alignment horizontal="right"/>
    </xf>
    <xf numFmtId="4" fontId="8" fillId="14" borderId="4" xfId="0" applyNumberFormat="1" applyFont="1" applyFill="1" applyBorder="1" applyAlignment="1">
      <alignment horizontal="right"/>
    </xf>
    <xf numFmtId="4" fontId="8" fillId="14" borderId="6" xfId="0" applyNumberFormat="1" applyFont="1" applyFill="1" applyBorder="1" applyAlignment="1">
      <alignment horizontal="right"/>
    </xf>
    <xf numFmtId="4" fontId="9" fillId="14" borderId="1" xfId="0" applyNumberFormat="1" applyFont="1" applyFill="1" applyBorder="1" applyAlignment="1">
      <alignment horizontal="right"/>
    </xf>
    <xf numFmtId="4" fontId="8" fillId="14" borderId="1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center"/>
      <protection locked="0"/>
    </xf>
    <xf numFmtId="4" fontId="8" fillId="3" borderId="1" xfId="0" applyNumberFormat="1" applyFont="1" applyFill="1" applyBorder="1" applyAlignment="1">
      <alignment horizontal="right"/>
    </xf>
    <xf numFmtId="4" fontId="9" fillId="8" borderId="0" xfId="0" applyNumberFormat="1" applyFont="1" applyFill="1" applyAlignment="1">
      <alignment horizontal="right"/>
    </xf>
    <xf numFmtId="4" fontId="15" fillId="8" borderId="0" xfId="0" applyNumberFormat="1" applyFont="1" applyFill="1" applyAlignment="1">
      <alignment horizontal="right"/>
    </xf>
    <xf numFmtId="4" fontId="8" fillId="8" borderId="0" xfId="0" applyNumberFormat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9" fillId="10" borderId="7" xfId="0" applyFont="1" applyFill="1" applyBorder="1" applyAlignment="1">
      <alignment horizontal="center" vertical="center"/>
    </xf>
    <xf numFmtId="4" fontId="8" fillId="10" borderId="5" xfId="0" applyNumberFormat="1" applyFont="1" applyFill="1" applyBorder="1" applyAlignment="1">
      <alignment horizontal="center"/>
    </xf>
    <xf numFmtId="4" fontId="8" fillId="10" borderId="4" xfId="0" applyNumberFormat="1" applyFont="1" applyFill="1" applyBorder="1" applyAlignment="1">
      <alignment horizontal="center"/>
    </xf>
    <xf numFmtId="0" fontId="8" fillId="10" borderId="5" xfId="0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4" fontId="16" fillId="8" borderId="0" xfId="0" applyNumberFormat="1" applyFont="1" applyFill="1" applyAlignment="1">
      <alignment vertical="center" wrapText="1"/>
    </xf>
    <xf numFmtId="0" fontId="6" fillId="0" borderId="1" xfId="0" applyFont="1" applyBorder="1"/>
    <xf numFmtId="4" fontId="6" fillId="7" borderId="5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7" borderId="6" xfId="0" applyNumberFormat="1" applyFont="1" applyFill="1" applyBorder="1" applyAlignment="1">
      <alignment horizontal="right"/>
    </xf>
    <xf numFmtId="4" fontId="6" fillId="8" borderId="5" xfId="0" applyNumberFormat="1" applyFont="1" applyFill="1" applyBorder="1" applyAlignment="1">
      <alignment horizontal="right"/>
    </xf>
    <xf numFmtId="4" fontId="6" fillId="8" borderId="4" xfId="0" applyNumberFormat="1" applyFont="1" applyFill="1" applyBorder="1" applyAlignment="1">
      <alignment horizontal="right"/>
    </xf>
    <xf numFmtId="4" fontId="6" fillId="8" borderId="6" xfId="0" applyNumberFormat="1" applyFont="1" applyFill="1" applyBorder="1" applyAlignment="1">
      <alignment horizontal="right"/>
    </xf>
    <xf numFmtId="4" fontId="17" fillId="8" borderId="1" xfId="0" applyNumberFormat="1" applyFont="1" applyFill="1" applyBorder="1" applyAlignment="1">
      <alignment horizontal="right" vertical="center" wrapText="1"/>
    </xf>
    <xf numFmtId="4" fontId="17" fillId="8" borderId="0" xfId="0" applyNumberFormat="1" applyFont="1" applyFill="1" applyAlignment="1">
      <alignment horizontal="left" vertical="center" wrapText="1"/>
    </xf>
    <xf numFmtId="0" fontId="9" fillId="5" borderId="1" xfId="0" applyFont="1" applyFill="1" applyBorder="1" applyAlignment="1">
      <alignment horizontal="center"/>
    </xf>
    <xf numFmtId="4" fontId="8" fillId="5" borderId="5" xfId="0" applyNumberFormat="1" applyFont="1" applyFill="1" applyBorder="1" applyAlignment="1">
      <alignment horizontal="right"/>
    </xf>
    <xf numFmtId="4" fontId="8" fillId="5" borderId="4" xfId="0" applyNumberFormat="1" applyFont="1" applyFill="1" applyBorder="1" applyAlignment="1">
      <alignment horizontal="right"/>
    </xf>
    <xf numFmtId="4" fontId="8" fillId="5" borderId="6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right"/>
    </xf>
    <xf numFmtId="0" fontId="19" fillId="0" borderId="0" xfId="0" applyFont="1"/>
    <xf numFmtId="40" fontId="9" fillId="8" borderId="0" xfId="0" applyNumberFormat="1" applyFont="1" applyFill="1"/>
    <xf numFmtId="0" fontId="9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B2DB44-2B06-4647-8210-EE8E4CA7A262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343BCE-E589-453F-BF2E-6EFBD4A117C9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0829D9-B263-4D51-BC25-B92679AB2FB1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DB011A-1278-47BA-B31F-82A1C510CD9B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7ACA69-CF5D-45E5-A5E9-DD6D349D07E0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DBB4A4-DFD5-4FD8-A0D5-1857CAAE7255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62289E-25DC-49AC-BB23-9235801BAEAA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5A33D6-77C9-4BEB-B9DA-DE9620FC5332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0C4A9B-6608-43C7-B646-E8753D9BFEC8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CC74A8-01BC-4BEB-BB34-CF8BE4A664DA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CEF68B-08B5-4E52-B32D-037A91E72F21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EA4385-8BE0-4A8C-ABA2-C223034E27B9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D0CFDF-DEFE-4D0B-AECD-BC9A4457DBEC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33B913-E0A2-4A3F-96D4-503A11439F7B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CA3109-B2D9-4FF0-A78E-FB043C599271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991E04-A070-4AA0-8E03-2407129341E6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274FF7-5AC7-4D4B-9AC8-4F9755C82F46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632991-70F9-4CB8-9D80-79FD934496EE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2EDF54-2A4C-4E26-9791-1D934DF9C0AC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CA4FBB-01E8-4773-8E1A-4F8C83FDA35D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320821-9F40-42AA-A428-247F6A5EB17A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EDAFC4-DD26-44EF-8774-3C53FF2BE5A4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7181BC-58BC-4F75-BCF1-D38B63205121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1E5F59-1806-44F5-ABB1-2CDC6123AC92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2FBBBF-26B9-4AD0-9E4C-7CBB5A7DE5FC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7D0D88-6D5F-44B1-A15A-7DE665CB9B60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CDEF68-9210-4241-94B6-5B86AF50677F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BD9825-F603-48B8-92B7-658F2D4E6754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8F2DA9-41B6-48FE-92AA-0B2AE9285BE6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475860-D877-405D-8D55-0ADE7F5D683E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F7F9D7-7B4B-44DE-B9DA-1BDCC6CB77A3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F3A0E1-AA63-446D-9285-16947BABDF1B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B7CCB3-CA59-472A-B7AF-701A802C8B4D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DE9B3C-F249-4D3F-A8D2-5527ED359184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FE316F-090E-4B1F-AD0C-BA7196D65D24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667CD6-D27A-4B1F-B70E-06E70A1171A9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D44A01-61BF-47C0-827A-0EE0B230E37C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C1096B-8B51-434D-95E1-909C2F1968D3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2FE6A5-58A8-4BDE-9687-B64CBB4B9930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BA4418-E15F-4CB3-92F3-257D1CB756CD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3EEBC5-74D2-4557-95C3-3909F964F4D0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19C37F-E519-47A4-BAB6-40127BD1E31A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89ED89-4358-4042-84C7-B53FDFA1554D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B3E0EB-B6E7-404C-AC81-5052A8053A85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700621-22DB-4781-9F10-B9323B070FC5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A19AFE-D79B-4989-90F6-1EB3CC9E0076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1F6E04-8EFF-457F-938F-A994520D7F7D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C1F2D1-849F-4EFF-86AB-473AB72EFEB8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663D1B-5B3F-4938-BE43-053E92A2451A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83148B-10AA-4945-A951-8560C5A1CC74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C762A5-2C12-453B-8DE2-074F514D54BE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4CCAAC-C87D-428E-ABD7-A6F2FD81C032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702928-752E-4AD1-8C06-57A2ACF4CC77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500322-4EC2-4A24-BD25-F169667CECEF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022A98-8F1D-4F0C-8E98-818DAF91C5C9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CA052B-D5DF-492E-B9B9-CF9222ECBBA2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4DA264-305C-4A23-9F37-B7FAF55907D7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96689D-7A5A-474F-AB66-4E8B2A8E476F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4F3FF0-A965-46BA-AF48-9FF7C3C0CB54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00EACA-C44B-421E-8051-AD5F0A2D4E4A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A3ECED-6BCA-4BE1-B106-643B9F68C8DF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8ADEC7-4C8D-412C-8C06-67C455FF4CB0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DC04FD-6AA8-41D2-AB50-943562E074D3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24F133-9439-4313-818E-ABC3A7EA4022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3EA8DE-226A-4777-B6AA-4C79F9A5FBAC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2A5141-7CF8-4066-8C37-CB3DB8136A8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C9B8DA-FF2B-499B-90CA-1E1A6EE5859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97111C-412D-48DF-8C38-FBB5146E3A6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645599-9640-4587-B455-362A3EE5666C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1FB867-55CF-4D5F-868C-D5F1F8BB713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0F0435-C087-4C12-BDE2-7D1CF36F3682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584814-A606-435C-973B-7A155C35E4F2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01B79C-8394-4CEB-BA6F-1A07AA5E0CD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A1E411-D923-4760-B22D-BC42C608063D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67FF09-03AE-403D-83FF-E22D1669EF3C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8D0407-2DF5-4803-893C-24700B2837A9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B83172-CC48-43F4-9E90-570DDD972FF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20DD2F-4D51-4B5F-9BCF-09AB67A47EA2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912BB1-29E1-4483-883A-89D39CF7678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BAA6D0-EE88-41AD-A5BA-F53BAF52EF5A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4FB342-6E13-4EF4-9D89-D1F3E4D5A80B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7A26F3-7F24-49C7-A497-F09435CD45C9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D1CB9D-F32F-444A-90D4-BEDFD1E9C742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FA5DA1-F238-439A-9A1C-0CBFC80457DF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F7E4ED-A361-4E77-AC5C-993283E7E1F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46C170-7AF1-45CF-848C-5FEC2E8A71E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DE16A4-CE7C-44A0-AD16-289FB6B7457D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5306E5-7F79-4E3C-A872-2EDDCA560F08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9AD09D-45D0-409F-B6F0-6437446948D5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0F91ED-0ED8-4F2C-8082-C6195F31543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EAD18C-C2B7-4B9C-BE8C-E70CFED1374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714375" cy="304800"/>
    <xdr:sp macro="" textlink="">
      <xdr:nvSpPr>
        <xdr:cNvPr id="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FD2220-85F3-4681-9F7C-D6801A50204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85A7B8-446E-47EB-93F9-A23FA0798A0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8458FF-DC0F-4598-8778-647D1D58D53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333E66-58E4-4E99-8154-1F44D22078C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F4696F-187E-4C04-A5B8-C381E1BFD22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8FE352-0509-43F3-A2C6-DE178B8B698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714375" cy="304800"/>
    <xdr:sp macro="" textlink="">
      <xdr:nvSpPr>
        <xdr:cNvPr id="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5FA5F6-B44F-45C4-A188-E52D2653ED2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BEBB6F-099B-48D7-ACB3-379F342D138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780156-B98C-459F-9E3A-22797B5E5B9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B45DA4-10D7-4C89-B613-E82CE81335E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824FCA-05AB-4391-8CF5-147DAE2B501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51CCF8-A9D4-40CD-BF96-75050D81E18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939F34-E422-4A9A-8849-9B7BB9060B3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3DBF94-5D60-4DAE-8B97-BC7338A8A77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A413E3-DC94-4E84-8A24-8A924701BA5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832290-F126-44B5-81B4-F52078CBADD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8E9B02-0FCB-4CAD-9D08-722E7EFE650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714375" cy="304800"/>
    <xdr:sp macro="" textlink="">
      <xdr:nvSpPr>
        <xdr:cNvPr id="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3AA40A-0C13-4196-8683-2EEDB1C6789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47BD71-109E-49CD-87DD-FD9C55F8E71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B79CCD-EE8D-4C86-9794-8B87FC0C2E1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FB9C9B-473A-452B-8F74-934270E6924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6869D6-165C-482D-8739-A41B01164C7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BB3BDB-9BB1-4ECD-B797-414DA4F82B7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75BD23-7512-4572-B31E-3C861830A17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3B8000-2949-4FC1-9B1D-5B170A8725D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2D6904-A14E-4450-9538-C4BBB3C55BD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58A966-F0E0-4E18-A38D-D5B055106F7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677C89-A99E-4FEF-A259-ECFD816A552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67FD8A-F274-40E4-B61B-1996D4092706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BFC925-53E6-488C-BE67-5503EEECABB7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8F42F0-C06D-4F5D-B202-51C62E5B9591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717F6B-F670-4B24-A8DB-1BBEFED66FCF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1D6562-8C92-4966-AEB8-5F7DC5D04BE9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A43F46-CC67-49BA-B19B-420C5840075E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971D01-8153-423E-A46A-A15F1E87D632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6819B5-9453-46A8-A82D-BD484D73EB39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E81142-4FA5-4AB8-B47F-6DC78926E8E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62AA7D-7C72-46A5-A8BD-576CF6A8559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6EDDF7-4FC2-4B75-BDDF-24CB3DD1239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A20BB4-6E1D-4331-BBAC-95C835CB3A3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FF920F-D447-407C-B287-BF4C68C17C48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5EFD17-8CCD-41E2-9AAF-E985F0260EE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BBC223-AB59-4D6D-AC7D-D2992E5F40EB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5398EE-DF43-4DEA-85AD-A0B3ED382838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A9A495-EB9C-4332-9872-F9B6B1A05829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10912E-8AC4-4896-BCB1-CFB0DF593B6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83131B-C6C2-4B2C-A6E2-3C0CD659DBDF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7653FB-ACF4-4D67-8F23-9058524DAA43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25047F-90F2-4C92-B113-0C89EA6CEC9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B7E509-F2BD-47CD-9C41-0BE553AF4CF9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80B2BB-E128-4170-AE05-F457517DA25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876228-2208-40F6-A5A6-3150D2A75378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983C03-1E0C-4D91-919A-DA10768504C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565B28-B127-49F3-B9E7-8A8D47CB3762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7D006A-3E20-471B-88CA-CE0C622A4F7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3F0058-8005-4B28-A352-069917EF90F9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2AACF8-A3EF-4595-AF58-2EF7465975A3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81F5BF-CDC7-4111-BB2E-D9BF85694802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3B3B83-FDD7-4FE0-8326-AAB4E3C0F809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E2D020-9A90-4EB6-A4EA-A445F3152AB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AD2D59-73D9-41E4-B261-F1F6395BBE75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4944AC-A792-4036-AAC3-204C67AEA7EC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7FBD46-7035-4622-AB8E-DC13142E7A98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714375" cy="304800"/>
    <xdr:sp macro="" textlink="">
      <xdr:nvSpPr>
        <xdr:cNvPr id="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B05B4D-ED52-4C68-9E0E-DB67DD0F915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B057F9-DDEE-419F-9D17-1B07494A222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0E1A16-FAE4-486B-B87B-5EAF4FE4F53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E11574-B57D-47B4-A1F1-425BDB47A7A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5B42D9-4379-4543-8959-523DB2EF701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1339D4-F6FA-4FC3-AC2E-6246CD6B20D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714375" cy="304800"/>
    <xdr:sp macro="" textlink="">
      <xdr:nvSpPr>
        <xdr:cNvPr id="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BCD5CC-A2EE-4ABE-9FDB-A585334477F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467848-C78C-4569-875D-6E0831CE193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F44FA8-DF3E-4155-9315-73E8FFB29E4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51C39A-B675-4EF8-ACE7-28477290812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5A3E24-BC18-486F-9481-2C0B23A400B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A900FF-4989-4D82-AD30-13BD9EE0ABD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6DFC94-5814-4115-945B-C7FCF58D9CE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800428-B4F4-47C3-915C-1BE4D3A885A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3BAC2F-1E63-4A10-A159-40F4488284C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D825B2-345C-4209-988A-83EF71ECEA0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B4D7E5-C42F-48AB-85FB-BD3DD22ACFC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714375" cy="304800"/>
    <xdr:sp macro="" textlink="">
      <xdr:nvSpPr>
        <xdr:cNvPr id="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85AFD4-B7C7-4B0B-9689-C0AD0115A2C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41C066-89BE-466E-A5B1-9CB7AFB9E71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F0E66C-14E1-4E49-81CC-431E5671180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694C8C-57F3-4BA6-B72C-22164276F45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CE6E28-EE4A-4133-B837-D3747754011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86C998-DC93-40CB-85D3-5E099EE8316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D5FB2B-965C-4153-A87D-0666651E0D3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2723FD-8A7F-4934-8EDE-C7A57AD3CD8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2CCB71-2958-4633-92D8-9D51803CBA9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5F68A9-3D46-45D6-86D2-242E83D0AF6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B36191-C9B8-4AFA-85A7-27E3C1B7BC1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482EB2-4BFF-4592-9BEB-7904F461075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B7BDAD-BF5A-4F99-ABC1-89AA55F9BA9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A31043-20D7-479D-B899-E534FEE69E1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E7A179-58E4-49AC-8D5B-9795F5A411C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379A1C-6AEF-4CBF-8CF7-3FC86AB102A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1F1DA2-C065-49C0-84C8-4DB616FFB24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D9EADE-B7A4-4265-8328-2B4E2469AFE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31F7AE-03B3-4948-9B7F-3D16A99D378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C2B4BA-B396-40CC-88AB-7C82BFB3922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54BA1E-AD81-45D8-BDC0-C1BBAD90233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238855-030D-40A0-BF2F-689E036209D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75EF66-89A2-4A53-BF2F-699D0E5D506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1333B5-B91B-494D-A397-588101EB571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AA4DF2-5215-40DC-AC9F-714FAC77DAD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6CE9D6-A495-4168-B685-4427F9C5650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BE40B6-5D30-4966-8EA1-1888D0E12AC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68C967-1B9D-49F0-8ADD-E37BE6762BD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1BB6D1-A29D-4ED9-B5C1-3D9DBF638D6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63E19B-5CA2-4BDF-AF0F-EA2ACDB9CC4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A084E3-DFDB-4E0C-A9E7-1EF4227281D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B64899-87C6-4E18-B923-648D9D73AAB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319F29-B0C4-4CFD-BECF-E7E2D4AC7DD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8BFC48-A743-4918-8222-77B18515566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C0040B-1A1F-477F-88A3-AF29731DD7D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D3D63A-1B47-4615-95AD-FC020E55327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96AA52-2B43-4FDF-9050-61F62A0098B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495D6A-B60C-4F1B-9BEE-299416B91BA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7B2242-D13F-4404-9BA0-97055F5DD84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27A1BD-98B4-49E1-BF51-E1A4D399703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7EB266-C792-4DC8-969E-9F105918534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995D6F-E750-4F97-A006-3373BDEC1B8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14B6B5-9DB4-4382-A583-FE2BB9674F1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735F10-A864-412A-B4F3-F2BC5FA71FC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CD2787-A19A-4A86-BED8-4F354BC66FD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DAD25D-BE3B-4583-8768-7DB7F00A289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199EC1-EDEE-45EB-B0F0-F6411BE1EDD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5FB6EB-5E51-4C0F-804F-46D952083AF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28DBBD-3356-4600-B4DC-2FC490A0C7C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0FAC4D-4DD4-4EA4-8C10-5962979266F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E31EE3-3EFC-4C3A-BD58-E76C7121BD3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3963AB-C36E-43DF-9DF0-AE518D81C4F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85B685-603B-4DC9-8B94-7C01C5C546D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FB7F1E-08A7-4F85-81CF-1B8E8FF3C7E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E471D6-AD42-459E-BF75-7C85D50DDF4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ECBAD7-DB4F-4944-A568-0D724E74FE7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F7B361-9900-4187-ADF8-1E145AA399E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814074-9988-4E04-99B9-3F4E2FBCC1D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9331DE-A682-41FA-AFE7-5EA696E60FA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28575</xdr:colOff>
      <xdr:row>0</xdr:row>
      <xdr:rowOff>51619</xdr:rowOff>
    </xdr:from>
    <xdr:to>
      <xdr:col>12</xdr:col>
      <xdr:colOff>191954</xdr:colOff>
      <xdr:row>3</xdr:row>
      <xdr:rowOff>156834</xdr:rowOff>
    </xdr:to>
    <xdr:pic>
      <xdr:nvPicPr>
        <xdr:cNvPr id="232" name="Imagem 231">
          <a:extLst>
            <a:ext uri="{FF2B5EF4-FFF2-40B4-BE49-F238E27FC236}">
              <a16:creationId xmlns:a16="http://schemas.microsoft.com/office/drawing/2014/main" id="{68F1D5AD-7174-407B-B8EC-F342D5DFC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51619"/>
          <a:ext cx="7392854" cy="676715"/>
        </a:xfrm>
        <a:prstGeom prst="rect">
          <a:avLst/>
        </a:prstGeom>
      </xdr:spPr>
    </xdr:pic>
    <xdr:clientData/>
  </xdr:two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E85D18-BA14-46D6-ACF1-4A8FBD020C20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C85555-500A-493C-A805-7BA9E607E2F4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0DCB4B-DF2A-40CA-B190-E0B99AFA3E76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C188A7-2114-4B40-904A-670137A0F743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AF67D0-8AB2-4614-9264-8106BFD68499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F68690-DAD9-4C11-91E7-70EEE622560B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D5C466-9025-4106-B8C1-BA3B5FDEB81A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F88DA3-11E4-4B1D-8F39-3E014BAEFA39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99A7FF-2728-4B2B-A237-35AC0445F4C6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B8FD17-3467-4EAB-B55B-BA6370B0F76D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EEEA47-6F48-465E-9EEF-FA7C169CE9EB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B9CF67-2BBD-40FF-BBF9-256E34885B7E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4315A4-727C-4BFF-83B2-63DFA6167E43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177773-AB9B-40AD-B70F-21C31CCEAC76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78366E-5F4C-475D-975B-D71FE192868F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E914A5-25E4-48C5-9BA4-1C5750C6BEA5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5F97B7-4B4E-4F84-AF19-251DE29012E4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B7B79F-B9EE-4C60-92CD-2204716D5C4F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BACA57-6346-4DC0-A75F-33ECBFCFF1FF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685E21-81D3-4A44-9E12-5BE6C0171FDF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FF42D3-F4F2-4810-8EFD-7B1CF0774C72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999D46-F47F-4A1A-B4F9-9A12A780072D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15B378-52D5-420B-AE96-2C95FCA4130D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520FDF-4B37-4A93-9D99-B2B5D0BB6919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4D33D8-222C-4D59-A634-9029CB02D7E0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259E97-83B1-4B2E-B838-ECC8EDAAC9AD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968DB2-288A-4922-A2E9-7045FE3A1404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B5A1F1-6C46-439B-805A-598E458BD813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25AE23-01CB-45B4-80AD-AE0C82B9DED0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E48E67-A663-481D-8985-327CFBBCF5A2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327C4A-32E8-4D54-ACEE-82D87C573FED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78F172-6D7E-4292-921B-97490E94A329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F50080-C102-4A26-AB30-3C0EC011AE31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82DC9D-93CF-427E-959C-AF5F12398AE9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4ADDFA-C49C-42BD-A134-7789D1CBE0C0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E70C84-B7F2-47CD-8451-CF4E372B496D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7654B9-A7B7-4621-9CE1-80A70CD6ABCB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58D36B-44A9-4AD8-9D0F-101E82F0C44D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18328B-6791-41CA-8CF4-F0016A572583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747718-CBAD-43D9-A28C-5B767049ACF4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4FEEBA-B170-44A0-B690-515F7E0D6E95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6A70CC-8519-445E-8201-FC165AF85D3F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6C6A14-B90B-48EC-917C-9577B3F76931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4B830C-5056-42AE-BD6F-51010F7EE2A8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0F27C1-B0C4-4878-8C9D-8DA1A6FB2B2A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AC4F7E-9C8D-49FA-A346-E9161B51735B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30241F-1662-44B8-B5C3-CA887504DB8D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452D97-6599-4A8E-A567-96F1372515C1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E2DD7C-D661-4683-9602-245728AA9014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CEC58E-8F90-424A-B003-D6A89FCE9ECF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2EDDCC-5459-4110-A8BF-1D7B485D33B1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83EC86-634B-41CE-AA98-38B292A8F7A9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F7BEBF-ACA1-40D3-89AB-5F86B7C2B981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64110E-DD3B-49AC-8A28-04C882065634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473220-7D92-4E60-97BB-165B1A5C825A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A72DAF-E9C8-4A09-AA2B-D1C774D9B1F0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F29B17-7133-4CE6-9344-7102CB372A1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07C44B-689D-4C86-9C16-4DBE2A09733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42BD07-C101-464A-8200-F1603272C5E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AD56EF-1AE5-4C7F-9BEE-3A82B49EA5E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A4F162-085A-4D7F-9296-073BB47A410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C8AE49-22B1-4CEF-BCC9-1ACB449A404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04E263-F3EB-4458-AA0B-0C69A83663C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D52154-FB5E-42EE-B2E8-E3E52D93BF6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8CD29A-FC0A-47EE-9440-0F4D26F3E17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F77C59-52DF-4B03-BFA2-5E0466425BB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163965-F464-41CF-B485-BDB34FE4CF2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9034FA-5A39-4C8D-B113-33695F1963E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0583B3-FE38-4FC0-9874-CDE79EC61BC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93DDC4-B5FE-4851-8B50-572C6343D33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8266CB-0601-435E-9B71-9DD4C9052A1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FD5A60-D933-4F1E-8A65-FA2286142A2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9CB655-0074-4A4E-95B0-1F7903FC0F7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C3E09F-3E4C-42C8-8039-B89CB1761D7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C2F4F0-146E-4486-816D-727BB3BC840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2CC222-D82B-49E0-A78D-AF055E2D895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0293A5-481B-46C3-9DE5-3CD982C80A7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FB8516-025F-4AB0-A999-B136692F23A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D5EFD8-0D64-43DC-A6F5-0B2364F6718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ABE960-3980-4285-BA4E-B6587684A3F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C3F9F7-2703-46D1-A23F-7940DAA5ECF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920914-EFAB-442F-8CFE-E94E005BF51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EA9C75-6440-4828-AA99-98E288D6266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9F8500-A65B-4209-9F24-61F4337D919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BBF6B6-0D11-40EF-A940-1BB85C32572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4FBDAA-0AE1-416B-90CE-11429ECF89F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828529-C643-46FC-8439-B5F27E68E00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8A2D9C-C9E7-4A93-94AC-75D9D232085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4FC5D5-DB0F-4EE5-BBC6-B7C2A5BE1F5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1CCFA9-1126-4F4B-9B81-EC458DC64C9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CE714D-5640-4286-86B7-2EA9993236B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B6FBC1-1F97-4E91-807C-628F40BAD8D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84366D-C1B1-421A-888C-CD4A77A0F78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85C039-70A3-44C4-994C-29EA21D791A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7BC045-0C34-466F-8E9D-B22FE1F141C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ED9DBF-347F-492D-BC11-4EA9986CAD0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590139-69EC-46D6-95A3-77D4D470C12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1212D0-D2F9-46E5-88FB-B24157B9130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83D73D-D3FF-4A03-9D25-F69236D7FB8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A22488-A0DC-4F68-A7D8-7BEB7956621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DBE414-83CC-4CE6-B4E8-1BDF8B367B3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004EA0-336E-4549-89A2-A7205765E39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B49480-166C-4302-9C04-45A65EF1982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996D56-F8AC-41BE-8CC6-E973E70846B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F90523-F3B5-4673-B082-6299D95717B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0D650C-5566-46A1-A7B6-78EA9550117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968A6C-4C73-42C7-96FC-F601CAD30EE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D5549E-7294-49D3-9A42-2D66AFE5ACC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0C9785-83B0-4D48-AB8A-1B966193EF7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ACECBF-C6DB-4D80-AA38-A5E0496670F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3AB603-7194-4B58-96A5-B7A9C9ECB94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52BCCB-EA0E-40BB-AFF8-3F89B22C7CD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E0C9D3-EFA5-4E66-8204-34C5E912FC8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D20479-20D2-4821-80B8-69AD819029A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9015FD-3466-46CE-A141-A248F399945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608FE0-2446-4DC7-9EE1-61305636AC1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40EC9A-9196-4BDC-A600-CA941D0CF28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2CCD73-3CAA-4735-A60C-7EB0AF84C82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D82336-D363-4E53-A939-93DB2B77E69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1D5EFD-1644-4E5D-B315-26D02F60358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633D50-EF21-4DCA-838D-ACA09A018A9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6C3ED4-0F49-4AA3-B9B0-E0C78276420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7E227B-DA54-406E-91CA-16654CA1D74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9189BD-F9C7-4A2C-A76D-6E9D66D87C7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2D8B0E-A8CB-4E88-8DCB-C6C8ADB0195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94F181-E36D-45A9-A5BB-52D74D53991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57C16B-0E6A-47A6-B6C1-A4710868369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2FB7ED-1E96-4680-835C-AC916066AE3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1D73F7-F01A-4BD6-8D64-C33524A654F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657D51-0EA5-4AAA-A617-DFE599E93BB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C11B06-239F-40F2-B502-E8CBC5BDE27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3D59E8-7EB5-4D3C-8BA5-8B6DF7D4E1C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D3C91F-73BF-4217-A30C-E028840CE08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302DCC-C36F-4325-8BF0-2D016EE9A9C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1D57A8-7093-484A-9A2E-F1B00ED3E78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680D57-FDE9-4B17-A3DB-38F39CC67F2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7981AB-FE5F-43D8-A08C-50F7FE9B74D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61BC77-9EC9-4B6D-8866-1A8FDA0AF94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4AFFA6-C5A3-4BC1-93E5-64C8CB8DD56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C26A03-F001-4E0B-819D-ADA40C42E6B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A43322-AE12-4111-BF8A-5D79BD3ECA1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FB9CF7-51C4-418C-809B-0F93DBE4A4B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0809CF-1D95-4DBA-92DC-A75734A9918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9F2B80-015F-4F42-ACF8-4514D56BB63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1F450D-4468-40D6-8644-2FDEA4876FA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78E9DE-4B81-4B4D-9170-A3F2DFFBAD6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62C021-191B-4200-B55E-A3A4F0689D0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9C57CF-8C3B-4148-869B-32BE230C19B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D933E2-72A9-4E32-8E0F-12F778279D2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574C4A-7ADB-4641-85A3-70D96F1161E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D9C8F7-8DF1-4BF4-9028-C14A2F668FA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1D6260-345A-455E-AEB8-74FB09AD648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E29393-6B74-4B69-9ECF-676EF34B4C6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</xdr:row>
      <xdr:rowOff>0</xdr:rowOff>
    </xdr:from>
    <xdr:ext cx="304800" cy="304800"/>
    <xdr:sp macro="" textlink="">
      <xdr:nvSpPr>
        <xdr:cNvPr id="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9EF924-228A-4C84-948D-1AC96EF577C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EA6951-EF59-4C4E-9726-048C21766F6B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0220B8-AA19-46BD-A82C-67A1B3D06F7D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F8E1B1-A10D-4372-8FB0-F584C1FB7EB3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5E850D-F744-471C-8389-C90C6D100065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27966E-A350-41C6-A063-78FA51B11F70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39DA9B-7B30-40A8-BD0E-B0B206D00CEE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23501E-4C64-407E-A4F0-D3DD66AEF882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E551E4-927C-4CE9-850B-BD2A3B83AE95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EAEDE9-0A02-4A55-B850-B06CAAD3A253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F17435-54DD-42B7-ACF5-EEE30DC8B0C0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66F407-5422-4C49-9C82-3E07F64EA298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50297D-692F-4C5B-877C-35E20B19D186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996503-CD4E-4C58-8300-4FFE052B9E0C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910420-C876-46CC-B949-82F81F812A54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1EE656-A21A-4C2F-B105-5459F08F764F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91FC05-0B1D-437C-99C0-72EC02494473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408FD4-BABC-40D0-8C12-3FAE444CFCD9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136D8D-891B-42C3-8F06-51BAF38D42B7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238ECC-7CB0-40FE-913A-FEE645CF5771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F57D00-578A-4902-B1DB-B1EBB7AB6BCD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16BF0D-EF44-4740-ABEB-C765381238FB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5927A0-5F5F-41FE-B411-9646CB223E81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304800" cy="304800"/>
    <xdr:sp macro="" textlink="">
      <xdr:nvSpPr>
        <xdr:cNvPr id="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7D0534-902E-442B-B2B0-9F627FA6978B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5A117E-887B-4773-B502-0A21C550B69A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8DBD16-2212-4C1C-8AAC-577F8D219AF8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5D9752-D7E5-4786-ADF2-E806B76D15D3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C4E11F-2A36-4E01-B9F3-202D970EB876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4ADE55-CF0D-4E41-A86D-6C319C3C8078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D85307-B5DE-4CF3-BC4E-1B6DBEFC9CC3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CA8686-0A77-404B-97A8-6455C946F88F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00554B-54F4-4282-A6B3-E5F07704A692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280196-B13F-429F-8EAC-713618C3D5C7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762216-F266-4CDE-BE72-11B0818CC1D6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531596-4960-4B5A-986F-F9C40D08E3B1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A46D35-55CB-462F-A047-4537224AB747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098FBC-937B-4C41-9F6D-2520C66A1F22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C3AD72-2203-4FA2-9AF6-13C292D5674C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2975F9-1088-4A02-9137-EDAD614E6CDE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E1F064-1A06-4BDB-AF79-7DAA7914B225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1C1695-51D9-416F-8AE0-FC226E6E5C28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93007F-64A3-4AC6-BC28-54C7EDB0CA21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E783C5-40DF-4D25-975E-FF32F60BDE10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6C7A08-0035-4367-BA2D-029F1FC8EC25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136E8E-1CA0-4803-97DC-85B83B72BF33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93A31E-9CDE-492A-BEC3-801A56ADC4EC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D04901-FF9E-4A8A-A3D5-CEE64D4CAF50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289B85-7CAA-497B-A58C-A618EE8F7C94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49DB8A-9C2E-4B78-9FAD-4806BC9AB8DC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B06714-0679-4BAA-8B7D-F6D3D61A53BA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15452F-100B-4A30-80B3-F174F09C21D3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</xdr:row>
      <xdr:rowOff>0</xdr:rowOff>
    </xdr:from>
    <xdr:ext cx="304800" cy="304800"/>
    <xdr:sp macro="" textlink="">
      <xdr:nvSpPr>
        <xdr:cNvPr id="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72F632-35FA-45D6-9FD0-3DD970EEC7FC}"/>
            </a:ext>
          </a:extLst>
        </xdr:cNvPr>
        <xdr:cNvSpPr>
          <a:spLocks noChangeAspect="1" noChangeArrowheads="1"/>
        </xdr:cNvSpPr>
      </xdr:nvSpPr>
      <xdr:spPr bwMode="auto">
        <a:xfrm>
          <a:off x="1227772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972DBC-BFB6-488A-B9FC-0BB41F4C7D1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86B635-F369-4D52-9F81-A5CD40C9EAA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A7A1BA-8F6B-4F94-A90F-B6873B9F340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A339F5-35C2-4BBF-AD63-A1FD20D7AFB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237D33-FE44-4D14-AC6C-03705F123AF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881B9B-CF44-4E17-8B90-3B1CEAD05DD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E82AE4-B8F5-4D49-8EC1-5E7CF83A4DB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CFA121-EE17-4476-8D53-CEB0B59769C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EE092D-C2E9-4D08-9F80-07D47ADA478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608DD6-DDEB-4923-B22C-63929F7C588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3584CB-D1DC-43BD-9CD5-9B469547F56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771CDB-1990-4AB8-8470-95823FDDBF8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040133-3388-4302-A6F3-5FF4106005A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1BB7EA-16F2-431A-9B27-E9E2BFDFFF8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D1024A-F8A9-47E7-90FC-2992E639D73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F223EF-1AF6-46DF-908A-322A3834012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FF38AC-1296-48F5-B4D6-E27E95CAA65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8C7DB6-7CC9-4614-8841-2E346FF7546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56D3F1-831F-4656-BE58-C99484566E5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FAE295-F90A-484E-A4E2-EDBA96B5BD2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394170-3EA7-4197-BA66-85C3B875147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B74B21-271F-492A-92B2-91D09D722C4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B9B5EE-42AD-47D0-BA02-CFCF8888D21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A9DA24-AA8E-4A9D-A488-B91F84D9350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A10318-9592-49C0-8368-071A014CF83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08E6E5-34ED-4FF1-A721-D60D494B33E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366005-930A-4E7E-A96B-712954CD7F5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532A58-5884-4F40-989A-7544ECA3224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06D4FF-35F0-428E-9C79-49D9982F2D9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D8801F-9AB4-4CFB-83A0-7934CA9F3CC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231F87-460F-40A8-BB13-76F0F6D7371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FF322F-E421-4142-AB96-F2F6464B892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CA26B7-090C-4DA4-94AE-1B009BF5861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3C6097-64F5-4595-B535-A06156CD8CF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A7F428-8CC8-43D2-8733-444919DD764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9DE3CD-0546-4E35-AC80-6A224B1E8C6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D70630-C1D4-43EF-92CE-CADFFF9DFC9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81E389-F7E8-4251-8CC8-A43F500BC01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93A3C4-EB3B-470D-8220-9A1F537594B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B19F02-F3A4-4D11-991D-62C9DAC4C70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A0A89F-B6CD-4CCE-9CA4-F0C6BAEC475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9D4495-D2E3-444B-9E73-A34712C79B7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2EB229-5DEB-4CD6-8790-C68BCF1558B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3E6867-0694-43D1-A276-A7B000F6879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0AD740-C378-4538-90E5-42A3E2C241B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612FE5-85AD-4411-B82B-E5FA4BEA837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3FFBB0-C1B5-4ADB-A076-19600BAA310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69CBDF-2FC1-4466-9488-82DD298815D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8EE925-C240-42A5-8711-BF8623D7D3A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32D9A9-CBDB-4DB7-B060-635B0385322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2DE828-987A-4275-ABD2-FFF228DF781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3E821B-D8C0-491B-B62E-AB4C2D3C37D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1E0A4C-1A1C-4F67-AC81-2FB9B75F896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ABA0E8-A319-481D-8480-B3E1F93D9C2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ADB7F7-FCB6-4650-8CFB-9A57E93BA7C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397531-0519-4314-8908-9359C00F5D9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614F5C-915A-4F99-938A-AF6360E7016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2F60BD-AE20-41A5-84E3-FC7A8B7F3B1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06A420-D625-4AD6-85E3-7487079826B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95527F-3DE8-4ACA-BB60-094AB36CC5D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CDE363-2D3E-402C-B07A-12D42E901C2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331F1F-B984-476E-990D-806F2ECF1EA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CF2C8F-66DB-4334-84FE-72E7AB83F52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35924B-FA5F-4080-9992-60143A3A638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C31B2D-022E-422B-B26B-1288BBF87B6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B9E0B0-993B-4ECE-887B-1F082A20DEC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4EECBD-4A19-4B49-B738-3958D5ED9E8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121767-2380-4B95-A145-2268BBB75DB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B0B987-204F-42A5-8D59-0695F0EF0A2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935349-AFFB-47BE-882A-105A1E5EEF0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210660-CC30-4DBB-9221-737E9118FE8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62A84D-C8EB-49A4-A4EA-DD77CF89556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5ADDDE-4DC7-4D7E-98E3-53459B339FF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368639-4626-4C86-8FBB-FC27F1A128A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05144B-56C3-442E-BE29-CB398E885C2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06E16F-4AAC-452C-A6ED-9D33C41D9E7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A5B43B-3ED7-4649-933B-522B9847894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1CAADD-39F9-4504-8039-7DC3D2A046C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567B84-62CC-4BC6-97F0-A06F9825289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F09C68-1A51-4036-8D80-ECE0C14C1C6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73599B-A1A1-4296-8191-213AED46FC8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39BF8C-EE12-4E6F-B450-79BFB539FC9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2E29D5-69AD-4E89-9D86-0E65E2F9705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221DEF-4501-4104-B36F-1889DC62BF2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F3C9C6-0D71-4A46-B115-039CAF4F3B3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39D852-4CE5-4E4A-B313-EEC734B38AE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BD7547-C3FA-4AB8-AA8F-497218027A7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3F2C3D-D7EF-4790-BCB4-F79653139E3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77539D-2B9B-428C-B70C-2B60FCDBDD4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3D9984-10A9-4D86-9130-5531DF99615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4EFD34-8D10-44E2-8880-2F226513905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80FEEC-448D-44EF-8401-B660ACF84D5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09D22C-44CA-4C9E-9A8E-4AA40764B48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09C18D-C3ED-4196-8B76-80CFB8580BB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12C732-5A9D-484C-AA70-EFDF7A4A24A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E48E94-471A-4263-9346-AB9A12E4E2A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AE9201-B6A6-4FB5-9F91-73FE09BA6DB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72467B-7DFD-40F2-898B-AB3343806CC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56144B-8C4B-4106-9D24-627562AD963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64936B-60AA-4BB3-9CA9-48DE81641A9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60F189-28A6-4AEF-B903-16BD911AFFD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93092D-600A-4069-BC8C-0BBF90907F8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F891D5-5819-42E3-8825-40803DDECBC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6F8A66-2C53-46BA-BC50-D847D2B92FE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B71B4F-7428-4AB6-A6C5-E5D351AE338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6750BD-7F25-460E-9E6F-281DA55C263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45BD8C-1A76-4E8D-B4C5-53E6406EF35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BC96DE-0F0E-48D2-A544-23EA0FDE219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9F0B39-2910-4331-A2CC-4AEC61F63BF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55EB88-60EF-4595-AF69-D4E7CE9651A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683FE7-D69D-4FCB-B616-A59E4EEEC5C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2D041E-D195-45D1-BB13-5D4DB384FB8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E8035D-E83B-4C14-9C0D-7801B4E7058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AAACCC-587E-40FC-BE96-4410C48DE5B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B245E3-C789-4EF1-A204-F6BEA334254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C46451-28F6-45B7-B263-13F68B38759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98EBCA-E589-4B0C-ACD5-475C3017970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E4ACFD-3593-4ED2-A750-3C2B2A08E2F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B7C35F-34E7-4AC8-ABB9-131844CB857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1C450C-ED0F-47D7-AA1E-75739C46E85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403E79-2581-4692-A735-5E086185727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55A734-A9B1-4BD4-B514-EC140C806BB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F5818B-6B77-4B46-A54F-797C687E563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146F0C-DCCA-42B7-90F2-7C1E2BC1308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3C936C-2790-4D52-9E99-A42DF3F82C4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B6D504-E699-4474-9F2E-B5255A804C5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7444A1-3780-4874-9E41-9378D776101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4DE732-113C-497C-B7D8-BB70C5CC61A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938C05-E4F6-4C6A-BE39-7B319D3C832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DA2E29-49D2-4372-85B3-E7D4F1696FC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D923CA-6C93-4DA6-8361-6422D6C9BB9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E543E6-70A6-4844-8228-BFAA7BD7006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B436A8-C9C6-412F-9D5F-43FEB7DB284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7D3931-4DCE-44CA-B004-76907ABFAF8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9090D5-01D6-4025-B66E-7C3305B30AD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E6E146-390F-4773-A2F2-CE0EA9F8C39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093614-BAC7-4AE3-801C-1C980C14148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177A15-CD4C-4950-A338-62807EA797A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31BB40-0A34-40BD-9C61-6F82C7D2121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2AB3B6-0839-454F-AD29-40FB97F5346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F5A5F1-1088-45DC-973C-57B8B6F8AB8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B15E7B-4F62-4B2E-8DA3-79D580649F2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A67BCD-BC4A-453E-8E9C-728E701321C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79430D-4CFC-4B72-845A-EC7D5717440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643057-E8ED-4FF6-A3B1-37E7FB94625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832B0A-6745-4105-8F68-C1A61E7F80C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6244D9-13CE-4DC0-A685-13348F8F5A4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C1399F-F0A8-439E-BF3A-DFC1AF2602D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0A753E-43A8-47CF-9E31-30B710CCA8D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299895-A3B5-495A-BB39-8F1435AB497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DCD281-CE62-4574-B8E6-749844EAF41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B13704-5CBB-4125-B30C-A929036E39F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01E84B-B050-4ECA-B6CE-475CAF1E7DF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A832D1-F5F8-454D-B08F-47D38D2672C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41A254-DFAB-4706-BE62-EB2CD3B3FB8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CA4E26-43AE-4566-99F2-932E1EBCF91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AA996A-ABEC-460C-AF6F-E521D4675AA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A91ED2-698E-42A8-9230-D1A51D6131D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587B22-0B6F-4F6A-BD77-F81B6DE8B59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185D4A-7AA9-42CA-ACB3-CF24D57F1A5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ECD8F8-01CB-4842-9941-2A6E6DF3A60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B18CDE-C9DC-4B50-B343-4A75BD1D64D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5FE3EC-4A8D-43B3-84B4-E6D8CC3CF99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9087B5-C965-454E-93F1-8DD36120236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10F491-4DDC-49C3-8466-24AD627FAD0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514D28-00A0-495D-B634-A9799AFEC12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96233B-7814-45DE-B753-3DC54730D51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49307F-77D3-4A12-A81A-AF32225A70B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8F1737-DA58-4E0B-933E-729D5C395BF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AB73B1-EE2C-480E-A0E0-4C1AE6F3F2B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891794-6F89-4296-8BCE-591ACC3A00D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AF87B5-9D5C-4F61-9B79-A102310E88D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0EBCB2-919C-4A60-97DA-0BB289EFC06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51A787-D63B-43CB-AF06-79F4378BBE9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7DE671-1E21-4BFD-90C4-C397F5B432B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581699-DD04-4702-AF88-AE0D504AC31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C13C7C-2D84-4A9B-B96A-B8820BF7B89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053FB0-91B7-4A06-BADA-FE1EFFA33A2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CCB648-F724-43F2-A643-AA3C48F0A71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0BD760-11C3-4772-991A-3C377590260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4DF035-F988-4209-B2B8-21130A91E19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98D6F9-7E40-4A23-BD97-B85AAAA0641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D70AD2-3CE2-44F4-B78B-9186BEA16F2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6E9EA6-98B3-4899-95BD-FD7EA000437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E242C3-5F22-4552-BB46-905E79BE3E9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D117D5-BF1B-4333-A6C4-B5C618D7288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56E286-276C-4F10-82DF-7F95DAB3A59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B7EC88-75DE-4E22-9FCE-9F32AF9871A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7E5CDD-A2E3-43FB-AF67-EE15564464E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9AAA34-7795-4221-B52E-E2F89FF3D60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7BF4F2-3907-40E7-988F-1C586911996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37F93A-B989-4685-A09B-A04F2DCB556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76E377-B0A5-474C-8D24-31B10FE7C70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3510CD-2328-4523-9E9E-80ECB067DDE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F00FBD-8A97-44D5-957B-BEB930186E7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094EFD-A782-46E6-8D64-823E3000F0A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B028B8-3E87-48FF-8F51-8D06DEAD713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98D917-E9CC-4C5F-BC7E-2101D2DE3FB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36B758-766F-413D-BC72-DDDE3084F4F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987857-CE5A-4E60-998B-DC5F108B97D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E42D70-573E-4E0A-862F-3B99550C5A4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0A5309-35A7-4B37-B1D2-BA467CBF5E2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7AE5BD-2275-495A-AAB0-826F0F01D32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FCFE85-F04A-4C6B-8589-81F24FBEB4E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572761-F093-4984-BF6F-FA3A9B66228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8AB7BF-822D-41B3-85CA-BCC808195C5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7C755D-F86D-4B21-B460-7475850AC7B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613E2E-8771-4A0D-86FC-00C90C0ECE0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A12985-CB72-4EBF-A506-99C7C30B4C9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055D3F-A2E1-48C8-92B5-DBA9D33D561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CD739E-EC52-439A-91EF-95FAADA0642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C012F5-67F3-489A-9BEC-4782E069670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53880D-7D88-483A-95E9-741E3784012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813D6E-2ADB-45C4-B25E-467C9509A5E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1A3CDD-25D0-4996-A767-0FA20E3A275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FD6CF2-D135-4E52-97A1-DFB5F597550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62A605-DDEA-440C-8403-A561717F68A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55465B-5296-45B3-8BC0-77F672BE26C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1478B8-6AE1-4D75-BA9A-18B94FC68D1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3CC949-78C1-421A-B54A-ED51C9DC3E6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B71CAD-2905-4D42-ABCE-B2CA39ADB2F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7100F5-34E5-4DE2-9751-BCF5974175B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D0636F-C649-4805-B21D-86AC3D78192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BF7C66-5045-4B69-B0F8-E041C588C6A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F8E4E1-3189-4859-B812-13D3100E1F3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F2BC40-3F90-4EE7-A18A-16C04717BDD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A331F7-4D43-4475-AF6E-A8C61B662F9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F3BFBE-120F-4E87-A51C-487AE8E8A84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96A816-5CED-4406-9CD1-3938C896FB7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846F8E-19E9-415F-9C20-8DDEE00A30E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EF47B2-7801-4B2D-AE69-75810943FE7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2D94E8-15A1-49EE-BABA-28892940856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0FCD12-0A0E-4934-A0FC-8925090561B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9C2A49-0A71-43E9-BC18-80FDABE7797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9EABC4-5854-4144-9ADE-F1DD2B671BA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A75BAC-DA96-422D-8FD1-673EDC768FB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27E3A1-5EB2-4804-9E66-84AC4D9C638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149AD0-E4DF-4A6E-9EA5-736831AAA16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8FD6F3-25F3-4B72-897B-27004C77DAA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2F6F32-2D6B-41EE-9C6D-A1329C0ECF1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DDCA95-88F5-44D9-815D-64388BC1FC9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EAF560-9D37-499B-9518-4D989F7FB1D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60EA4A-F684-4A37-80C2-CAD1C9425B6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3BD4B5-7F35-4DB1-BC12-BB9D48B90AC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21E078-7F49-424D-A4A2-AC14AC19FB2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629C6D-5312-4051-8630-91099FAA657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4CF2CF-EA5E-46F2-A255-5D6B0908FFA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98C6CB-3EA8-4D31-BF6B-86D5403F1C3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4F5EC8-E7B1-4180-9BC7-2B8CB45F428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57E69D-D71F-478B-9E09-E4EB3ADCCFF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9F74ED-ECF6-4309-9423-5EEAD113638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EEA4D5-26C4-4C5C-976D-30C68D4FFA1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190756-20A2-4016-AB70-F001E00CCA2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0EC21C-A1E8-4BED-A14F-653CF838EF8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EE8759-4B03-407D-87D1-090FA2196B3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D214B2-B18F-41D3-B06F-9BBC46DEE99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F0A8B6-D47C-42C4-9113-44B22E1C54E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C2F7B0-6704-420D-B9DF-269542A395E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3084D6-2F94-4FE9-ABAE-AE67288DED9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3058D4-E8CA-4FD3-8E4B-FEE6D18D90F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7222E6-C044-49C8-8A76-2C413B4F337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70B284-6324-407A-B857-D9682A97CB5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8CA17C-1800-4776-A0B8-B9D29849982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222271-AA2B-4502-999C-67142D28449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B3DA03-1C58-4191-9B35-D294D196CA1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4714F2-4864-4C7C-AA6D-D1380728E53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5C9F47-E860-4FE2-89BA-FCEFF9481D3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BF318D-A18C-4FDE-981B-0DC30778402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79ACBE-5EF0-4B29-B200-6FD80CB87F7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DFDE0C-A8AD-4CC7-B061-28DD418797F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E5077F-149F-42EA-8314-06FEBF879F5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492F60-4899-4A89-A7DC-DC9DAD44DE0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5A50AA-E39D-4ED5-B1E4-93AE3960B9D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BE7F13-E78E-40F7-B3F4-2100D8AC5DE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FF9276-0C1F-4175-B46A-52788CFACF4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575551-9CE7-47F2-BEB1-7B05B908B57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F0D879-2E1C-4972-A58C-C6F154F3A2E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53D13E-2B36-4545-AF61-C0575B319E3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BB63E0-83DA-449D-8F8C-F2E26F8EA01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E78B2A-287C-4047-A6B3-9159D3241EA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BA4162-B81A-466A-85DC-EDC54F0E8EB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D405BA-F834-4B38-901F-7F3A2DF1449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6AE37C-E649-420A-AFA3-52A738B03EB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815927-EFE9-4538-A9B3-7A2D0BD8FB3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689126-AA95-4F21-8537-C9A3F976D83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312B9B-D733-4F58-A1FA-12261F7D8FD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4BA3F7-814A-49F4-B5F0-AD101D82B46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E2DBE8-0BAA-40DA-B3B0-8C11380554B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44F916-E55C-4BF3-A80F-D448A45AF98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2C0328-3B93-447F-A433-80BACC59178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78C0AA-C091-449B-9588-D218829A574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7F0A93-1004-4DFB-8A8F-3E60188E165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F246C2-8446-4D14-98F0-99A1B3A8973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104</xdr:row>
      <xdr:rowOff>0</xdr:rowOff>
    </xdr:from>
    <xdr:ext cx="304800" cy="304800"/>
    <xdr:sp macro="" textlink="">
      <xdr:nvSpPr>
        <xdr:cNvPr id="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773AEF-0D46-4C97-A73C-A91F1CF2FD1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199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DC9CF3-31B7-4805-8279-00783825F9F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A682AA-8367-4AB7-9852-C0A188C4AE3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AFFAAE-91DA-4788-AAED-A87870C0886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4785AC-AA2F-4F09-9106-DB6C8E65D1E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922C95-5ABF-44F5-8D36-4195D297413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E89D7A-3F84-42D3-A3C0-C3143A042F3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748E9D-CD8D-4BF0-935D-D6BD25B000C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36807D-0767-4F92-BB42-7BE94924DBE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F4FD37-8B8C-4B3B-A70A-72810110B66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2386DD-4911-4E89-B6E1-87C841CF83A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D4860E-D849-453A-ACE4-CA76E9403BD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73159E-2651-42F4-8907-1F711E48FC9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3A62D5-95CD-46D4-9BDD-870A43C67DF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59F39F-E8D0-4AF3-B186-85479095F4C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C9E521-04FE-42CB-82B2-35B6FCC7A8E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D08479-66E7-4732-A4DD-51CF4F23DB4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446039-A0BC-49C2-AA79-2973A8D2B1B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E87B7C-93BD-482E-8A73-A1B95B8A8A8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66FDE9-2A67-4217-BA02-5AF456F845F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575FCD-D06A-4FAB-A572-BB209FDFA22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14262A-2803-4FE6-BB93-FDF1AC13CF9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536E93-E111-44DB-9C1F-61978D1364F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3B027D-8E3A-49CE-8306-81CD6D7CF1A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012285-75D8-493B-AE69-BD0DEBAF77E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CFFF0A-F175-44DE-8524-2D552B279C0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980B11-08EA-4E4C-A3A6-A77B1E5CC56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796357-2485-4C4B-8E6F-2133893ABB7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B2ACBD-43EF-4BF7-ACDD-3FFFA48A0DA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C55373-CD8A-4396-A766-1370B482DE8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C35110-CE48-4237-9D3D-0DE1BD04228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F31352-2EF4-4DC4-8987-E9EDB05001C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C50EE8-13A7-4E41-A4EA-736C7F7EEA9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A6F710-DB84-4FBD-8E97-4584ACE4590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E37C54-8B8F-4006-B0EB-B94529EDCFE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0D5FC0-90D6-4589-BA82-B427B99EDD3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A53100-96CE-4595-94F6-C1CB6BE17AE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41208B-0711-496E-9688-B2E74ED7820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00AABB-791E-41BA-A3B8-D0AE72C0D51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E5EE34-63BA-4B4F-976D-413FB6F07DE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5041BC-A680-4EB5-BEAF-3F60B5C248F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83FB30-829F-4711-A2E1-16DF8624644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110F33-E348-451D-A464-91792EE316F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E43E21-239C-4F66-A27E-98988F95D9B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953DEC-F952-44A7-808A-BDDF50860FE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57C4E5-AE4D-4047-BD15-05FDB90AE93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32CA7A-342A-4A1E-BA7D-AEE71853C9B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97B86E-0E97-4BA1-B3AC-B26B2395684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22DFC7-DB53-4E2E-B2CF-ABDEDF251F7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F5D780-DAA6-4539-819E-45C2582366B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EF1ABB-380E-445D-A1E1-2C1F46BA92C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0B683D-B37E-4528-8A09-A2D89171132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5DD7B4-AF5E-4E68-B580-F6277E7B152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5E4E02-563B-4145-9C8D-34446922A38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7F92D7-B4C4-48B6-BD01-1638EECF2B2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1ABE73-BE06-49B7-A87E-3624115791C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8756E2-5FA1-4A21-9E7E-B0717A9A1B4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EC15C3-4AF4-43ED-BA91-8B1D6CF5AA3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D3AE34-3D43-470F-BA43-73DF9F991B7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82E2AA-99E5-4EF0-A2ED-1FB566EF7C2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B825C5-CF60-405D-904A-B6190FF7A7E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EC4635-D514-4AA4-8BCC-E72F5FC8AFF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FAB306-8B68-42C9-89DD-BD3E758551A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C3B28B-0E73-41D0-8A44-37035D1174D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07234D-0496-4DD8-89B4-DBDD4B52AA2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BE5894-01E3-4E6C-A3AC-830B0FD4F19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AF6479-6BA3-4240-AA9D-97DC814B3F7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1746A8-FD80-4F70-9AD6-C905E20CFCD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2DAF5F-869A-4B0D-9D80-9D3C3F539C3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44116B-1423-474D-BA7C-C91C29ADB4B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FA781B-7203-422D-A5A8-9B108781ED7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E0B43F-DAEB-449B-816B-37907497B96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221763-E024-4209-A747-6A680096603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ED4C8F-70EE-4EB2-9B97-753D3E730AF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A2F842-2334-4497-88D4-3036CAABBF4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C6D192-013D-4089-817A-0CF0C992428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8474D7-1AE3-4D9A-A34F-D065F7CE6C8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C03217-2E81-4AD0-9404-BA02804958D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A15E94-A761-4B4F-8214-8D53E3D881C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FE0DF9-AB1C-44B0-BCDD-239FB9E727D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DF5CB2-6C18-40D7-9E96-A112CA73D2D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D88E3F-46D1-4938-92D2-00987AA786D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2E2C22-B5BF-4745-AE6D-8F5AD5500F7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38A608-453E-4E38-9362-1D8840145D5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395511-6D1E-4966-A87F-9B34599E800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C64905-F884-41BF-A14E-69484C5B0F0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0924F5-791D-4AD6-B833-88B84D4891C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639072-993D-43BC-A663-8307D760E5E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B81B17-C5D2-4BB3-B8C9-F96F554DA78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90C761-239E-4DB6-9A27-0F80DF873E5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E13288-0D8F-493D-B2FF-E41030FF2E6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641C28-D5E5-4ADB-9BD7-E88F1AC8F56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01B1D2-5DF6-4B47-B96B-470541C8495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C2E351-7512-4614-9EAC-A324B1E7775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F1FED2-A2F4-4F30-A2B2-A63D3605239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2D969E-85F7-4186-B247-13CC227AE1A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80D6F1-8856-4E0C-9E7B-D42E5BB618E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651808-2AAE-463F-A088-ED81F111139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9B6152-A766-4C68-A431-D4DF35E7E5A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ADFCD2-2002-4CCD-8E7A-B53A1E69524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D48D2F-03EA-4D71-ABBC-10A46370F72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B7507F-C6C2-4EFD-B363-F9A7B3398BE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2BB808-207F-4562-A2CB-CB1C4248581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6AAE89-0791-4AA3-8495-5065D329381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AC4161-2C8C-4DAF-A85A-3C7A4BECDA8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3BDC6A-15F3-4AFB-A979-10C7E08C234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A517F5-EBD0-4275-80DF-DDBBB548AAC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3AA3DC-9E76-4F7C-A731-65F714A76C3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7A296B-E02F-4ACC-A39D-A79AA3B9C14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82C489-9FA9-4806-B519-769F271E3FC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2F2136-16CC-4854-A15A-DFFD2533D31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BCF4CE-9278-48DF-83CC-B4719DB45FE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9612E1-17D6-4275-87E3-B6CEB084DE2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A0C97C-65E1-4923-ABA1-52A57DE953D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79CE0A-BEA8-4CCC-8496-3DF8641EB7F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15B21C-54C4-4938-BCC4-48FC9545FE2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D8C1EA-6A51-4B84-AF97-4C602778DD7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7CEB8C-07A8-4000-9B0D-9271D63AEA7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590611-CDFA-418B-8EC5-3DA70B4A2AC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CCFABE-B713-48B9-BB76-826A2418224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E75D33-3DC9-4ED5-A9D7-199A542A916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38C85D-AB02-49DC-8B08-9F5261FAB9E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E05D97-6246-4048-B984-68BE6997631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C6F6F7-ED7B-43BE-ADE5-16854534DB9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89BE36-B71A-4D78-B47A-80390F5C58D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919808-DCD0-429C-8872-74E48F6B590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ABB10F-8928-4088-845A-27AA5299773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897260-49F8-4D6D-9242-4CFF0AA5095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E59EFF-6A3E-4819-9E07-CD865F10C26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3FE354-650B-4DE3-9FB1-A2F75C48C2D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238DF0-0B62-486E-A399-398CCADEC8F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2AE58E-F107-4C7D-B383-4BF5FEF4ECC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CF555A-E49D-4CA1-99B2-FDC6C7230BA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42805C-6AAF-4875-A503-CA46CCDA32D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D03B26-F761-4590-84AA-130D26D3AC5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FFC9D5-571E-4D13-9039-1AC2856F2F4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EEE805-7641-4B83-BD2B-B3DCF00CEBC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7269CB-0DC8-409E-B9AE-86C844471BC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10F735-D2F5-4B7A-829C-B14D82D44E7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1DA732-848F-4A20-BABE-575EB1227C9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4BACE9-0F05-407D-88C3-1F4088B17B9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284882-EA1A-41A0-817A-8DE90B6F07A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518C69-18C8-4DC9-A9C4-5A0FCB09FA4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72B80E-1449-4E05-AF31-8A027E01B3D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3866EF-1DA0-4441-A859-53DC3A10B82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FEC21E-9F58-42BF-B569-797C43731C8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C69A9D-A60A-4D44-85A9-AE60B010488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2C8802-4C55-4F10-B5CA-26D182171BB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4718B2-8225-4473-8588-31126E60DDA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C23BC0-DD94-4747-898A-F42BD99C423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76FFD4-711A-46EE-91AB-15D9B97F405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EA6975-B752-46F5-976F-9BCBF81F245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9729B3-38E2-4CE4-BAB9-0242CDBD374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62E1CE-1052-4BA6-90CB-3AB2BB8A59F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AECFBA-4839-4EE8-B5D4-F9895D8E560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C0D732-DA40-4285-BB3E-B2F4239E6E2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41BB5E-9835-4B99-A300-7133A6F13DD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8D2701-6C1E-4562-A2F7-9F9DACDB346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D5E555-CFB7-49B5-AF2A-DED758C1DFF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E5B1DC-387E-479D-89E4-97018564CCA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8DBF7A-294C-4965-8B86-07A2DBA028B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72038E-E8B4-43B0-BC93-E5E84CA8F7A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162EC0-B42E-4D3B-8AFE-608D2D2B2B1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7AC89D-DC84-42C3-85DF-BD3235D9A6A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4EE0EF-BCB7-4357-A4AB-C5791203AEE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E39715-731D-4315-89EA-18176E2A29B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A8E6A5-CCAB-40FB-92C8-1FA0DC99006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88A040-7FB5-4CE9-B6F7-2DC622BDC69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ADB8BD-2394-400C-99FD-F1F345EA14E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F1F4C5-45B2-43E0-A9B0-B3041017EF2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124B6E-68F6-41EC-81A0-C7175CCF7CF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042260-2A1B-403B-9EB2-3E3D1DA1955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45B858-E15F-47D0-97FB-6943E272165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D2C725-8F66-4E2A-8989-A89CA298347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2C76AC-9253-45DD-8D02-91735853BF5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7B3948-455E-4C7F-88FF-2ADEBF2FFAE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D1BC38-E099-4335-88A5-3E745157CB2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B88EDF-0D15-4E69-9753-FC2E516CE14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D5EEDE-F39D-4D2E-B6A2-79B53391D03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B3FDCD-02F5-4108-82F5-F00F1D054BA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F6412D-4CFC-4C66-B680-D806A9E2081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400323-5B16-493B-826D-6684F18D8F6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854624-8667-4CD4-9F6F-868B7B8BF51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4AA6FA-6BC3-4F94-B381-7A8E73E8A05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491E4C-1202-4087-88C8-7BD5D6CEE9C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EB1790-3F87-4CE6-B609-83DDD6CF711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554795-ED0E-4671-9E97-195EA39DFE1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D128E5-6153-41EB-B802-7B4C47A791E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D83F6D-90D5-426F-81D1-B2E8A6D7369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A2E5EB-B845-4D75-A68E-1A30C392CEB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5BFECE-305C-4A27-A006-B26A1E75E73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C3C997-B742-4993-B3FD-523A991526C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BAE1AD-7AF7-4E02-89C4-1F6C707E14B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CD9380-116D-4A51-9689-0D757D7CCAD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01E1F9-F0FB-4932-8FCD-C1A548DCE25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265AA4-36BE-4685-BC00-36DE17F0003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B8AB97-B424-4D84-833F-2580633A723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311402-A2EB-4D56-B70B-0A36FE5BA3D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45AFF6-88F1-40EE-95DD-E4578F97C59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5F6B4D-ECBF-4877-8C64-478987946F8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88C172-2292-4B88-AEC3-EDAB142ACC9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40F1B9-FCCF-490E-8651-F1F21E0EB3E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3995BB-3F24-474D-9596-91816C759C2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55CA32-56E3-4717-B405-BC7D93275A0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B4176B-3C38-4BDB-B1FE-6270ED9E061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9A6A4E-9289-4D07-8B08-DAFBDAAE803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7FFB40-3AF3-4994-A49D-66A94E6DF49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1E7B61-F5B1-4058-8763-45748EE6D93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F5EABE-D970-455C-9482-FA197BAD6EA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1EE804-5BCB-446C-8418-AB106099FDA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50A009-758B-4118-8675-0BFB1705C1C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3C8FB4-9EA4-444D-9DB0-DD6B0453FD9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1C9B49-166C-4D7E-9608-498882193FD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94F5D0-F275-4E3A-B53A-92164F66965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766A9B-0B3A-40FF-B892-FC8997189F4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D7558D-0C0C-443B-A5AD-DA10A087A3D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634B93-8E2D-49B3-8478-5825685E8F0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8E87AE-68CB-4EC8-B846-7655EB493CE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CE620F-4B9A-489D-9220-839F853EE27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EEA966-BE60-4107-9D5E-C5CE6464594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509DFC-F836-45B9-BFA4-3A9B9456144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F82EEC-2447-436F-93B4-840251B7CA9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9663AC-B057-4B48-96D8-1786B995786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DF8D6C-4C27-413F-95F6-D7E51CE925E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E1767E-C425-4B5E-90CB-6E4984486E1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C832DC-7ABF-4E39-A93E-C0F4FF439B5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073210-6BC9-4882-8955-CAE81D3A771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A6FF6E-DCC9-44F7-AD6C-B214079E1B7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262472-5B25-4C4A-BF8B-2DA256B2C86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F3DA83-3EEF-4EC1-BAB8-E1CEFE62669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64DCDB-09A3-4115-9BA5-A0E1538BDAC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B36B99-9695-4D43-8225-6F8DCC123F3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893315-9E9E-4FFD-BC23-B3D860152A1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3B4847-BF25-4C93-AD3B-EE6C1A3E869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C3DD7A-328B-48EA-ACFF-A0541071220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F018E0-D0FD-4260-BA5B-969ED8245BE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96A425-82B5-4CFC-9094-5CBBF3819F6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DC4D7A-73F2-4BEB-9CC7-4EDA7CF68AA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DE0E56-F488-458E-8A80-D704FD30727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B9C60A-36CF-4985-8DBA-D12DD2963D8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7A9253-D03A-42EC-AC4E-67CF4CF954E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7951EE-81EC-401C-8365-FD5A538DAF7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23462D-44FD-4B1C-8BE1-D5857B51E4B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F64930-28A3-4174-821F-44930F02B43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AD952D-31FD-4654-A737-9790ABA5866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FFB997-7379-4CC6-B586-2FFC35BC810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A20E76-0F22-4A46-9C66-EB43230C830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2BD3A4-60D4-4695-AD65-1D21DBAE730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9B7A5E-1466-49C5-B44B-4F8223FE561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68B0DC-EE9E-4BC3-900D-69EF4807CE5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877042-6A7E-4074-B844-6060ECED038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87A47B-9945-4DDA-BF78-ECFC67442A5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996C14-D4E8-475A-8548-522A4A8DD00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C4BFDF-9379-422A-A284-88B946FE4FD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2865DB-856B-4ED1-BA49-A8193B7F638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6311CD-108A-4F40-B303-9D223BA24EE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787C0F-D28A-43E9-B27D-0EA74C5FDFF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9D2D4F-78FF-4369-8220-AE843870A81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D2C0F4-FC68-4EA7-A09E-F40D833B7A5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1EFBD8-B6F3-459A-8755-5B080958CC6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307E43-05E1-4FF5-ABCA-70CE61AC6D3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C78493-77D0-409A-B8E3-E40C6D0F787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07B1A4-A69D-4548-BA75-CB5159C84DB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C109E2-3AEC-46BA-8C83-87FBCF7DF57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0DFBC2-8C11-4E0A-8E2C-E670F070DA9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3671B0-1BD4-448F-8288-492A2864297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E6E18E-72DE-4D55-97E2-EEC94AF2EF5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029BB1-3EFF-4BB2-B446-38916B720FA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B96FAD-AEAF-443D-8ABD-6CF92B61892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EAF800-88AA-4DBB-B0ED-D24A20F0013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DEF93F-37BD-4A5D-B884-E703D28A785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CFED8E-5031-44C2-9840-833CD102CF7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BB7EC7-8BCA-49D5-B4CD-57DA004937A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24B944-230C-4E47-8BD8-36C511F388F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648499-BC86-4AD9-B361-696FB854FAA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970014-59DC-4AA7-9468-E634C986846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853530-6481-41DC-9386-B6E7A111D7F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48D09F-AF5B-4DBF-9BD2-CF13AFE1E2C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D74976-FC87-46EC-927E-49BD69FCC32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031437-0313-455A-97D6-EB860DCC5F1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2F9ABE-6749-40B7-AB6B-50BD740577C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A15CA5-4C51-4A77-8DDD-3750EDD3EB1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3AD415-8847-4A6E-B45C-EC8FECDB75A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B0DE70-550B-4D4A-9CBB-8E02E53E2CF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B45B5E-94CE-4D01-83ED-A1EA58D3B01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A6F3FA-7522-46F2-B71F-BFC884FD101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16E811-3BAC-42C1-A699-5A4F67400B6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791553-78BC-499A-8B6E-1E0D7B960A3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D1DCFC-80DB-4ECA-A67C-C5E94E60383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6C5E66-BAD0-46BD-9103-DE9F9FD6793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B952F0-5EB0-4C1C-88EA-29FBDAE0870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0BA9A9-AC4F-4C8D-860C-064796798FB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866131-6DCC-442D-9BF6-B2B3BE7988B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9D2668-C2B4-4A61-8CF0-71A245C6DB9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A61BD0-800A-4634-92DA-1BAE88B4BA5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B807DC-D0DA-4609-B7CA-138C89AEA23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2117F4-F891-49D6-BC3A-BB09D8446B2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830B8D-FFCA-4E07-89F6-3C1FB3BE711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3040AA-0E5F-40F9-B4A4-D2771AC4DCF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4443E8-17BC-47CE-BE50-CAC9C7F0F09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E12A84-8C3C-4317-8B63-A789664AA3E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514E9F-00BD-44C6-B07E-69B8ACACF87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6BA082-ACC6-47EC-B908-73759B18D77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D62491-E1EA-4509-8CC5-99D4F292E8A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3EEE2D-39E4-4ED6-9E89-5E0FA202963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214ACA-8BF3-4F85-8479-5E1C2C39A07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4D3910-4B77-41CE-A4E0-764E94D94CB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892B63-6285-4F5C-9C3B-C735EB35F29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29694C-D1C0-41E9-AEB6-AE67443B0DF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D7D911-0A21-4568-A1F6-CBD9A382590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6C8547-3AB9-41ED-BFCE-3E92E743EC0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A5529E-393E-40C1-B04C-CCE97C02A8B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EA899F-EDE5-4B3B-85D8-2D57998A25D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BB5F1C-A990-47EE-A785-16DF1F2B749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BDE37D-9031-4BFD-97C3-2015E3214C0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2DF8F9-5ABF-4474-9849-9F0F0413EEF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B13BE0-148A-468B-8A63-CB5F86DCB82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54BB2F-A946-4C43-962D-273003F37F8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C16DE2-C922-4A0A-AE99-449435FECF1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BD95B8-23DE-4464-AC63-1FFE5405473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3DC4AD-7B54-495E-AF2F-6C4471DDBAE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D2642F-4218-491B-9E26-172643865A6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12D533-6FFB-4B82-8FBA-A8F358A6A38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1A403A-F4F8-4982-AF4E-9728A84391B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BA5389-20E0-4D0D-A9EB-F5F43946C6C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BDF32A-5FE6-4B93-83AE-6E251139A27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0F4443-9FF3-461D-BC01-67FBA6117A7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6AC4B7-4872-4E10-8B2E-C3B1E319872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E35DE5-7CF6-4BF1-AE81-0A4650CBB5B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BD0A8C-60F0-4B7F-80A3-EDE029C00F0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0B6870-FEEA-45BA-9D77-7AA386317F9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8C3209-2CFC-4ED2-BBB7-39935DD0898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8A34FA-22AE-4CE1-BCB5-FB34E803161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AD1A75-B821-4123-9496-F808BFF2E9C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407893-2EAE-47C7-A0AF-425A944493A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BDF121-DAEE-4C10-847F-EE4DFBE31C6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11909B-AA93-47A3-BF6E-998E8944E4F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9FDB8D-4025-4082-8C47-AC8220E862B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4A439D-54DE-473E-ACD6-51A662E68E1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42AD9F-8C66-4B2F-975C-43FE2F76862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802716-2694-45F8-91A1-35E83FB7488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03F31E-1BA6-40ED-8091-2DDD08F1A6A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7B444E-F976-4F24-8705-AD90457643E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C3AB45-5390-42DB-9C4B-4E43D093931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DEC243-5381-4EAF-BDE2-E6FF0CC63E7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93F6EF-F854-45B5-8A26-E94F34F1D09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43461C-1D99-4CC5-8571-85E49B2FA85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0DA3D9-6C6F-42EC-9006-CED373E6073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06EF5A-4491-4A0C-994A-03AF6DF9ECD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882602-4781-409B-B833-C4A8F09F038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673310-00C5-4523-809A-C7D227FFB75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ED4254-86E3-4868-BAAB-5C933E46124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D9A982-5C6C-4926-BB79-54BA38E223F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441552-8FC5-47D8-96AA-EACC1FB1CF3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EB0E9F-4844-4DE5-9AF9-2BF0D66CCEC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BBE874-91D8-4923-98A2-839CC1771D4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291670-6A35-4C07-B4E8-58B3EA8CCDB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297CE2-BA18-4F7E-A039-6C5B992939E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62B3C9-72BE-4EFA-9373-6232F799FF7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9F609F-08AA-4796-BE39-E9FE110487F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9B5A65-FB88-4E90-A718-BCC8003C71F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8293B4-76C2-4E8A-A1A4-EAEBABA640F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E24EDD-A8A9-49CA-9797-935A4D13567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7D2063-D7C9-4D37-A205-D5AF493D4AB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FC7412-A9F2-489D-9873-F1662879168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27BCAC-66E7-4E1A-8D16-8E0BA038EA3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E511AD-FAE9-4D2C-AFB5-15BDF123FE2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C42053-607B-443B-9AAB-1395554A58D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F689A2-F3BD-4376-A2F9-CAD703300BD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CDA5D0-DAAB-4510-96BC-5927F87C986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21B6A1-78DD-41F7-949C-01D4378ACD2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3FEEB3-C6E3-4AB7-ADF0-5D8A04BF60A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987979-3B6D-4C95-A82A-3BD0B49ADA7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60D0B8-9129-4770-8E65-89B58DB82B9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E22EFF-2289-431C-80C2-795DBAF1B5F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56F7DA-DFA5-4D47-B0E1-CEC747263D7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19730A-3142-4564-A189-4011FBE73AA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491D24-E06B-4120-8CEB-27ED3A46CB8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87F8E7-FACE-4330-B517-45CFADFBE55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B57ADA-6C1B-4BC0-B97B-2364FF7D6EF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805514-4E5B-44B9-A559-2A949F47894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2BCE28-948A-4C59-A9B7-DF6CF639DC5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E59A01-559A-42EB-8251-B95490F85A3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90E7A5-4703-46DA-BBC2-7F175E353E8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9B405F-2A49-4D18-860C-23FF4AEF5E7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A9C823-C8CD-4FFC-8159-995399F360B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5580CA-E5CC-49BF-B9A6-8B42FE06FD0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87007F-3BCF-409E-BC85-1815F3B9119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C09226-298B-4479-AD08-5AA27CC8407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816445-4448-4357-AE16-5FBFFD16D1A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EF90C6-3CDF-4E4B-B280-EB135AE65AB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2EBFF0-7293-458D-B88E-A4DBEB25A5C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EB6B3E-4C90-42DE-9C26-38267077032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DDF130-7189-48EF-9382-247F96EBCCA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842D27-F141-4A68-9691-C3C92C2CC3C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935A38-FD5A-4E90-BB9E-C64A58EC279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CB33DB-41AE-4E85-802B-E7E32C30322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A145A9-A9FB-4F64-80FD-C043BA80DB7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35A7F8-814F-42BC-9D9C-13D26409BEC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FCFCDA-691D-44E3-84A5-C8664943529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944265-26C8-4F35-9C39-118393D17D9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278A83-D18A-4379-B5CB-67E9927FC50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4F05A1-42AE-4A2E-A628-41523D9A258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3B4F08-9266-45B3-AEC6-959C937657A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BA1499-9840-446C-80F4-40832AF0427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EB6D5A-C6F7-48A0-A0BC-F7C09E39F90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052774-AD47-4145-8BAD-0B07B1C99E9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93DB20-BF43-4709-A03A-11FE2030D8A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D964CF-CB15-48F8-8910-EA79E0515DA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AC78C8-7706-433A-B3C1-A3D9275DCD2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336CB1-1768-4CE4-8D11-BC13D0BDFD2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1FF324-54F4-4030-85BF-F29F8BDC0CD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39904D-5251-4649-85D1-3AD06F20BC3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AB47FF-525C-4F55-A256-216B28695DE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0EAB22-6E11-430B-AE41-7EFFC4DBC73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68EFD3-2072-491E-ABF9-62A59539B82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162115-3532-48F0-804C-2C2EEB14E7D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141654-8185-4824-91F1-94970DFB471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70C426-FA20-4BD0-AA75-F92CCEAE994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0A8D90-69EA-4429-8A81-7A5003E0114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707B91-ED64-4250-B89F-CF2AF1EC6DD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A45ABF-90DB-4807-8F4D-F64971A58AA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6D5F7F-35C6-49A6-99D0-BF924CDE4B7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D46BDA-DBFA-489D-A6DC-180669CBE31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271F30-E9A3-4A5E-BDD1-990614C1563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3B3735-84A9-41B7-AEFC-5D90F1E7528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35EA29-F6DE-405B-B033-3C4291CF8D0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A7DFFD-595D-4C86-9334-34103FC2473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06B3BE-8A1F-4237-B29B-10E831BD4EB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4DF665-43BE-464E-B97C-05B60357723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E93ADA-AFBB-4D10-8E3D-04E9D534488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38C7F8-A69F-45BD-B39E-DEF0EC76F79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C3FEE1-9E4D-46FC-9BF1-CC549936F22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BC2D6A-4365-49B8-8014-CA93D96E9FA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AC0B92-F4BE-4284-B5F4-AA7F53F2647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C6DA99-F511-4F38-9D9B-B6F5B02996B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D1A280-33C6-4D02-9755-EAC7CD2D057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F9C9EC-765D-445E-8F50-3897B1C2739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F1B011-314F-4C16-8F9D-C17F8CA261A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1288DF-FC41-4453-AAA8-6D4159CAF21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BF8674-FB42-4736-8AF0-BAB82692FDE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E73744-4F93-4CF2-99C2-07BEF7E16E7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578923-0139-404C-AD77-886E8E73AC1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04F6B1-53A6-4F91-9237-4399F0839CE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947E48-413E-4A9C-A376-7138C621E97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1ED104-FC5F-452E-A635-CDCE67BCEB1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BE02B0-2CD5-4D7E-A5F3-AD546601B7B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A34DFF-E158-4218-9F1C-A4E3583D1AA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26BAFB-7A5F-489A-8C6B-2474A81232B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039795-5650-4D16-AD39-2C80E736996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78BF83-10B5-483E-A6CD-45ED08A3E7C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E994A2-7965-4874-9166-F36F354ABF8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BE9B4C-43F4-424C-AEE7-0EA555A8275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9F8BA8-D796-4886-B0F5-5063BAAD2E5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806C1D-DFD4-4DCF-BBD2-1539FA285A0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72208A-7D2A-4713-9D68-A4A9397BC50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5E1B50-AB32-4F30-95AC-20991E60456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F676DE-28DA-46B0-A304-1770272A639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C225D2-7E3E-4412-9528-2B3EF495ABD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33A626-AA02-4471-A389-5507B6CD0E0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C7ABDB-4307-4190-96C9-950FC64F9F1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C07BEE-9872-4EB2-AACC-40D4CC4B1B3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E20F0D-7DD2-48C9-A5DE-0A1C88AB469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185A4E-3B26-45AB-A7CD-86A8FE851A4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794FAA-AC10-4658-834C-26D622C0EB5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26D809-A6C0-4174-8927-B14FAB0030F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82739B-454A-4CF8-86B7-4BE4A5AF9CE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791C60-D4C2-4B15-AFBF-86F71265B4A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D2C889-161E-4682-9242-136E182C74E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2AC506-C899-4591-B2AB-7E840671C6A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E065BB-1090-4EB8-AF37-A05B542C1DF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F90D80-5106-4A1C-974B-BDFC0A3A781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30FC1E-0634-4609-B364-6F5FA5720ED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475C9B-A9B5-485A-BD6A-A24C30D0DFA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71DB72-BD4F-4FC9-9357-EE47601EE62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5F310A-F3A8-4A3C-A3A8-EB3582A753E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63F1BE-681D-4C76-B8F2-458160A6E67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B8DEBD-2331-467E-A4D6-1C20382B3F4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D7A40E-1805-443F-81B0-F39B74E6055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DE3641-B88A-496A-96D7-D4E69C502A1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CD6869-FCE7-4898-9CFA-A0657C9B011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4499D0-84F1-4AF2-AAA2-AEE908DFE04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FC5BBB-AA71-4987-B883-5BE311195E3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382453-A616-4B09-977E-14EE67237FF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E6A5A3-9A3A-4314-BD34-254C9B16972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F7483B-B951-4165-B1FE-0A287CEC114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80AD7A-1B6A-4628-8831-EEE74A32760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E6BB71-C3DF-43DC-9E5E-8531AD5F9CA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983A87-9581-4938-A149-9AF14C0118D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75128D-2AA4-48FF-9DE8-E4FF26938E2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943499-02EE-4EB0-8026-3AB3F46BF44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B280FE-58C6-4981-9EC9-472567EE073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11AA88-FB8A-4C73-8EA3-B85A97A6704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A3DAE8-5F39-4B5F-9D93-9293845FA15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3CB3D0-5C2A-4456-8B71-0D44D98585B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C63FB4-A212-4637-A65D-C7B23166C8E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4C4F08-06FD-46D7-92C7-67F042BFE43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9A9EE5-0992-4270-83CF-C122583858B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CEE1BB-21B6-4042-99F1-02931B15A52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3D5E47-9D30-4E5E-8AEB-88E3DA0B7E1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8F212A-CE51-48F3-A615-D8B492E9ACA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18671B-4FDE-4D5C-8755-50F8C78D23D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44117C-EA9A-49B7-8CB9-DD9DD2FE0A4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955222-258A-4173-8370-B19D948EB67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73262B-0900-4969-99FA-DFD56391880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EA3977-0FE0-4308-9948-4C02EE7B26D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D550AF-3BA5-4B3F-9662-5FCC0D9C0CF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09B0D1-E33F-40F4-BB1B-D27C47EB9F6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B3091E-A615-4F93-B1BA-6AD9983DA95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1A3F9B-1EC7-4CA4-8613-1AAB30444F8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33FF1C-09AB-4117-BF87-C3FF9D7ECF0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CBFC20-B254-457D-8BDB-9D9A5E1CD36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D8DEC2-E707-4189-B474-2BB9555853F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294B44-F373-4EDD-96E0-2F7F24092FF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A0DD1C-B66A-4712-9C2D-3BB7E94282D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3D2BD4-70ED-4C21-ACA7-A76DFE3A813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29DF12-688F-4DD3-BF5B-D8156B8D9AA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28FA11-6760-46CA-AFF5-1EAF887F30C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9351FA-15FB-41D1-91FB-9D6B66BABE0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66CEBA-D288-4016-B602-154FD5A455C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06FAD4-EBE2-4176-A9A9-F31C82DB2F0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D4F43E-4E4B-4BB0-B56A-8C604B5785C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D1D767-52BA-43D5-99AD-B7E16C4DFE1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FE8A43-4094-4FDC-9991-9D33DC595BB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A218F0-F804-4268-A31E-5C5CEB89D56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4C5018-3A88-4897-BB5D-F4386B48B83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59A4B8-BA67-4774-97FF-252C3161AD2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044489-E476-4215-9290-64F2EE8C66C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4445D8-0FC9-439F-B47E-2C7FC458A58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5F3153-5E82-4E6E-9516-FACA04BA560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5BC5B3-13FD-4A1C-A4D4-D4A6BB6EC29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E988A9-4753-4101-9355-65D53397783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833DE1-41E7-4EAD-9385-7963C383F2B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EF5675-75B9-47FA-ACA7-CC675D604F9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406E42-080A-4666-89E3-F4995D4A7E1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CC011C-2E1A-49D8-88FB-387039CD26B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9D5749-45A4-4FB3-B397-F80B6BB9266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EE504B-C8B5-4984-8C2D-28FDE2C3B25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A24D6E-600E-4776-A30F-0B7F16BB1AC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F68276-021E-41CB-BB19-C08FEB0C37E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051B0F-3300-4027-9032-AD47EBEA31C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198113-6548-41EA-9E1C-1428440BE6A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80CA92-0446-4A82-BB31-CAABEA72A6A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D74059-D2AE-4FAE-983C-8210A34CB72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C384D0-0345-4C71-8114-6A81FC9369A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C3050F-AD8B-4DDD-A53B-3EE49B712DC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EA06ED-DB64-4B02-AA8D-374C0E709C0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DC17CA-D320-4F3A-B513-3CB30F1DE79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0164DB-B965-485C-A90C-13970D8E5F2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6B81CE-6D83-4739-A85E-5AD5AE986C1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AA2DC7-D7F9-4FA3-8E76-2F32CF4BBCF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75212C-90EF-4A88-ADEC-C541937F34D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4EEAA5-BFE2-4E66-A7BE-68CB0F739D3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AF1906-607B-42C1-B50B-3A6D6F96FEE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6FC131-4DB0-409F-A3C2-35AE68C7331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17F133-624F-4CF3-80D2-210B4EDC433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EFDBF6-1BA7-4228-92BC-F78C91F27A3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7E31E5-E990-4356-88AE-5403ADF2582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E8D334-997C-4898-8D1B-6C783DC4541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BD5737-EA9F-4CDB-B3C2-E27307967E5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B7A35C-6419-4968-9C43-1F92A380D12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80E026-3304-414C-A708-BBF854560AD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56774D-5DB5-4A72-8CA0-09F8049E023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E6A83C-1ADD-404B-982D-9C6264B2FE3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46884F-1381-4AE9-9060-C0B1BC93E43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56E3D8-99D8-4D69-88A6-3008FAB7D94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FDEA08-D289-4EF6-B438-118B0BFB6B2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6D90B3-515B-48A4-A61C-AA748F9462B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C4BD3C-CD18-45E8-B105-1EB9ACD3A49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34C370-8E32-40F7-8505-D13955DD841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20CC37-76C4-4939-9374-BC20A0C8F37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3CCCFF-3ED1-40A7-9667-4ED0D67A955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EC1EF2-4F50-4D81-AD0F-E801E866EC3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7C2D4C-DCD3-4AF9-95AB-EBB297CF2AA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852015-8A01-4CE3-A40E-0316B1D1B57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7A93F8-7A9C-46AC-8A7F-2C94B54A6D6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3378DD-AABB-411D-A7F1-7ED70E36853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38C07D-3FEB-46E4-8D15-1762AC6D3A9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64F67C-15D9-4351-94FA-A1A85D577EC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FAC08E-A8B9-49A3-BB9B-576E2BCC210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B497F1-8A15-4AD3-852A-E26E20C804B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D7818E-F59B-49D2-B5BA-AD431FC62C6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253B41-8483-425E-841C-86659206DCE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3235A6-BA58-4DF0-8B36-4D0FA436AEA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48B745-A877-45A6-9737-936906AD6ED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B1045F-9D7A-4D10-93A1-AA6F19E6D10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A6219F-7908-4A61-A938-1C036048827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D8F932-D476-49BC-B9C3-2F28610D9C4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79D149-13CA-4484-8A49-7B2C4E4F706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E38A2E-187A-4D68-95D4-EAB1BD0D383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E7CB9D-DAF1-488C-8AFD-D970250CAC2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D31461-93D5-4A6C-A759-02E508A9BBF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803DAD-50BF-437B-8689-7AAA9513F3B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E66B73-CC49-402D-881C-1829D981DB7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9DF84F-1538-49E6-AC72-E139B9AD373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C3CF51-FFB9-4870-8D5A-0F6B8C01B95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B5F8AB-B612-4E05-A7C9-D19646B9880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4972A1-DF3C-4CFD-AEDB-72ACC84571D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0930B9-B1C5-4EAA-BC46-F1E5019C988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D7B5E4-6E46-4962-AD6C-DB8D9A79C84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E36536-7967-4227-B2D8-D92178BD965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6122C0-FFA7-4E8E-93A0-E288099ADF4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826B6C-C5A4-48DB-9E6A-BDFB8EBA172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3768C2-8257-4E69-A140-2AA147E13E9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11EA8A-A662-44CA-B8A8-F1B62E1CE04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73848D-6757-4852-BD1A-53E80A7B0BC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592CA0-2C4C-4CEC-BFE2-912CF1E39BB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E7D7B3-905D-41E5-9B37-C2A6EE36BDB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26F8E4-2EAF-4EB2-AA4D-670DCD1B67A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184F2A-B1CB-442E-BC2B-E99C5BE09A1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54C749-988D-48C3-AF1F-CDFE40E43AB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CE7E5D-742F-48AF-9FC0-DD085B79C0E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F05F09-A5FB-4653-95DA-83F43B14EE7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B984DD-E7DB-4933-A44B-D91EE4B78E5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2FAEDA-6033-4624-9D62-8FB3D8F570E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BF3A54-3083-4683-9AF4-0E971227167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E481F8-0E57-4E80-B866-C8F749238D3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AD3C6E-77C7-4726-AB8D-DBF038F89AE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14A5A2-FBEB-4A6A-89DF-A4683353B38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CEFFE6-CF8C-444D-BF7D-4D4DB860E1D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FFE84F-97B0-4264-B6EC-1CA9DA33042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6D9405-B5C3-4351-9AEA-98597621193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EEC0D5-6D95-4873-8CAB-5087CA573FF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ABBA92-4F29-4F02-9229-768D5A4CC9E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932A40-2410-4515-A984-74828FD28A0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D09C5E-F677-44C3-907A-1ED49CB07F2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E875C7-582F-4D0C-81E5-D8E33F0E337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B0BA06-5256-4136-A7E2-E78F6850861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3592D8-4FEF-4431-A85E-FC64894AC7C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72F4AB-91AF-4703-9DFF-D64D3F1F325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F76E26-1496-4760-8A76-43C2A177EB7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C439CB-9391-4EFE-BD55-00D93EB22FD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4A5105-91E9-415B-BC4E-0638C67C6E4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318FCB-3056-43CA-98C1-FF63F7D27DB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526C51-AFD5-4806-87A7-8A5D81CAC16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6BFF19-76F0-4075-A93E-3D3B2AB9DE1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61276F-6AA0-45D8-8A26-5F69495D784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B472F2-6F27-4968-A647-4DE2250536A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E5B85A-7E3E-4B0A-ABEB-F931F4D12EC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518EEB-39C2-4E39-9EA5-5D39BDBD668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A5B102-E214-4DC8-AF61-106B933D9A2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6A4681-FFDE-426F-8F5F-78A65C5CA03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D77D88-EB49-4D31-B891-D3CF2907688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766487-8B4B-4098-A3E4-307E833E411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C8D289-09D2-4A4F-A69D-74A71E2863A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92D336-D735-47D5-B1E3-B136B8AE5A9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3E75CE-B4F4-45A3-8659-84949690B72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60194E-2DE1-42DA-B260-26622C1B61A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D72613-9F06-44C5-AFB9-FF8924A5400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850D0D-5328-46CE-BEFA-1702B062045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A2EA1A-3316-407C-B621-868142E7BAE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23FD56-2DC6-4D27-A8E8-31527BE327A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3EE034-B4AC-4958-8DE7-B6ED1F7AB7E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42E08B-E756-4B33-91A5-84D7DA3DC48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5EDBD2-1CDA-47B1-AF8F-3A73013A5D9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178475-9361-4B37-B14B-124DDBA4CA0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85B3DA-9C62-4785-8E51-B5A49BA54D7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04EEE2-691E-45E1-BE73-3E6814B5B48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D88AFF-F5BC-4380-AC11-9948C68DF47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E108C6-8CA5-4556-8367-C8274373A57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D0D04C-E9BD-4E30-B46F-46B78A44578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13C906-54E0-45E4-A936-F5EAA02890A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4627F4-9D2B-4AB7-9384-3B3D0DC6A19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FAC961-70A4-4BD4-B711-948FCB43AE9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9BD4FE-EA4A-48A3-97A7-DE6DFCDCDB2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7D9564-782D-4B21-AF83-F7FBFE96C9B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F7120B-93A2-404D-8B8C-193329C44BE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8218A8-E407-42C9-85F4-C320761668F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FDF08E-2683-40DA-B8FA-8EC123CB7B7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3B57CD-0422-4D3E-B98D-9C7EC25D0CC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1A931B-3EF9-4DE1-97AB-CA74D9ED45E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B76EBB-E3CF-4072-A865-D94DBFE4A24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F224EA-CB34-482E-A5BB-00B341F7ABB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5145BA-9707-4632-A030-28B9D6106CC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A9BEF6-F0F9-486F-9AE1-569B1491D03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9414A5-A52B-4902-B622-CE0F7D4D982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5F5898-54D9-4BB8-B5AF-7527EBCA16C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3528E3-E915-40EE-B117-0B8BF1BBDDD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53DA2C-79A2-4B78-BCDD-533F95F593F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4791FF-CF6E-45FD-96A0-5C2DD67B420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768082-B9E6-402D-9D0D-8797412A76A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1BA487-240D-417C-965B-8B84128B17A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C3B857-70F9-4A29-A15F-5C40A9C9D8C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E28AE2-742B-469D-9E33-FE92498F626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04179C-3375-437C-90EC-8EC5CEED103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A7D36E-97DC-4B3A-BE1F-4EC22169917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AAEC00-8E14-4F06-8DAD-36B7015432F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8CCF34-2D21-4CD8-BF00-5E34C35963F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B20118-B40B-441E-86BF-C0BBABA04F6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8BDF99-14E6-45EE-94E8-86F9EF37B94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6753EC-C09E-4775-963A-8D7FF6A292B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F065C7-E4B9-46F5-8DB5-605528B2744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67FCCB-4767-4855-8D3B-270A908F62A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FA0169-6152-48E3-92AA-1190811AD10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38B909-162A-45E4-B560-6A58C24DD3B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8E51E6-86FD-4F16-A0BF-146945784EA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D28B7B-A5CE-4934-B968-04C66FF4C25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274651-8298-4E07-9381-F3EA1B54BF9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E1C6C3-5854-4A77-B7CC-1CADF679BAA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958A07-73CE-462C-AE02-A46E0CE0218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A54405-7B26-430F-A93C-DA69E0D580C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55A849-F35B-4A5B-9EAB-4EBF15D4F5F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D448A5-5596-419A-81A0-36A7FE6428A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6BD17E-CF81-4970-B312-9D9C75A9ADC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995C42-5156-4B5C-BC0B-95A12FD5C5A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CE4449-02FA-488B-A8EB-0D869786172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ECA60F-F756-4FDC-BD34-EDC3743F6A3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9C71E4-C2D4-4B72-8D74-1AB85EFD711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D196C7-DC46-468D-9E5B-E14A92EF047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D7DB24-FE9C-4CFC-BCB5-7E6C663E603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1E1DAF-195D-4F3E-AE1F-6B06EA6F469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02F940-B865-4210-913B-6F49DB7D09E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5677B1-0E0B-401C-92A3-D26F5E2E74A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18F89B-7D06-45A6-819B-B289EFB0520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AB828F-5E35-4381-9394-7C30D94C252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9BDAC6-C2A8-467F-AD69-0CB950A5E24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2B7502-DDEE-437A-ACD5-C7622FF0C85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94E884-BF55-4483-BA49-18D5583AAB0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C57108-B66A-483E-BB8A-E8A3C8C349F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38925A-F28D-4B5C-979E-B2895D76F33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F33308-89ED-40B3-901C-650F999989D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E51E20-3E0F-4EC9-9D8C-3E8E3578EE2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544E43-0926-4CEC-A9CB-7A28D49C5CB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FDE56D-AE83-41A7-BEEF-1DC2B67A1BF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1C5A23-4089-4A66-A4DF-FECA9AFA5E3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8CCD93-894D-4328-8F77-1247C2EED56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383290-1484-4F56-9B2A-DD2DEFA03F5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F9B072-8983-449F-96D3-10123712B24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DED714-5435-44C5-980D-1B93F2949BB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ACC602-4F0E-45D4-B2CE-F3F186DF071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968C57-F4CC-4B64-B292-DA9634BB137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F13A4D-E502-4F4A-B45B-CDAA2A80E84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6A746A-1792-4836-9DED-57F98B9953C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DF0729-A25F-4658-B225-A6C62CF82B2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C25FFA-0B07-4D68-8E7C-9DBFA34E4C3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0C1256-B961-4456-B14A-1973809A9B2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38D498-2B9A-433D-8348-7E9234AD195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B5BA0A-40CA-41EB-A9F9-ED644B69D23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EB2161-D735-46B8-A0F5-1DC65E7C8C1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804F65-1A40-4EB0-832C-D1B9259EA3E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BEE1D0-B759-45CC-AF01-F970BF98A07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76F933-DEFA-49DF-983E-71715C72B35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75E84D-C048-4A89-8728-1DDBCE1AE61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222DA0-1FCB-4F71-ACA8-B7576A97269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543191-B01B-4649-98F4-B83C741176A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CA3E00-018B-47EA-BE23-B234A3F142A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7505B4-9B93-49A3-8CFE-C4EDAA55EE3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2227AF-7C71-4325-9D67-4AD7737F42A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17729E-578D-4E2F-964B-48E93755164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ADF7A2-4F21-428F-94C6-123DC8EDF16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256B26-ABC9-4A63-8C50-B53AA577464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21D687-DBBC-4A2F-99DA-21A5F2FF785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07FBD3-FE84-4E69-9593-D0A69E58709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FEC1FB-5B87-4189-AAC6-210B95EF84F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FAFA2D-E37A-4C15-97E0-E34C6465BB5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6E31FA-39E8-4808-9D2C-85508CDA239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864462-3874-40DF-9CE4-1307695DD4F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541A06-62C4-4484-A51A-A440A4B2AB4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21A525-C305-4E52-B4B0-601EDD9153C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46A86B-CACC-46F3-BE3A-1FB61470720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B8D92D-6829-41C2-B52C-F8813743CA4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92E745-F2E4-418C-9437-762B4995173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2843B2-3E30-47EA-9B1C-CFCAA525698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3F89B3-BEEA-4FFD-9DB7-7E475932A43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9A1CD5-AF50-4A8B-98F9-54634CB2DB3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A2A520-45A6-4BC9-A42E-044F4B2C8C3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866231-ADAC-4BF8-97FA-B95A29546A4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0D2191-F29F-443A-97F1-DD206C53859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9FC31C-D7A5-40A7-AA22-A0FF6A82D61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258EBC-830B-4CE2-834D-995AAFDBA98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D297C7-55FC-4A45-8B4F-A6E343C49FC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912208-3B87-4104-A07A-A6E837AA648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5DEA5A-352F-4770-9AD9-B221D0F0085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3D33C3-A969-473B-8FAB-44BDCC8D5AA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2B0994-8917-4663-8AF8-FCE2D8F645F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FAE5F8-799A-4B59-824B-B04A9912F70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339972-5894-4BE0-AA84-D4CB174A9B1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BC090F-FE12-41CC-A9A8-AD65553753A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8B7C8D-2DBE-486A-A360-46BD5B79DBF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4C0F30-4D15-4832-9FBA-8F5AAEDEADD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DF5EDC-341C-41E0-AFA9-7BE4140C1FA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33E72B-740D-48AE-A761-C7AFCA96A89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09D27E-42F3-4E1F-9243-8E717796DD7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CFA8EE-AFFE-4D38-BA96-1E6B969FD7A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768610-BEC6-46B2-A189-DB7B25A55B6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E574ED-9762-4D9A-96A5-0B70B9A83CB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D2FFC7-9EF1-400C-8800-66CF30678A4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D46D24-14B2-4BA3-AF1B-983D3D46A81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54388B-EE6E-4566-812E-4ED68FC101D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6E22EF-3469-4EAB-AAAC-51DD6EB67D5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4B5933-7263-498F-AE85-99393FECFFF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66B828-37EB-4737-A7B9-A6F306CCFA3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3C8162-7491-4BF5-AEC0-A9B55A90E03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7242CC-DC92-490B-8B5B-81C51BCB41E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19A7E8-4C7C-4E87-AF9F-E10BCB21977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C14CF0-DD42-41E0-9349-A046B40479A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5C0D8F-F4CC-43A7-A105-36121D07AE9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EA64CA-B9D5-4E10-903B-306AF99D1C6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BD5FE8-F3BF-45CC-9BE6-9C419931081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C65049-E3D8-47E4-AFAE-8531FEC69E1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AC42CA-37FA-4165-89A7-703E9C329E3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B09D5E-CED8-4EE7-8D11-3496E778D93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E0F8D7-404F-40A5-A553-5F8C7A94F14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739C74-CCCD-47B7-AD6B-A218767AA59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53999C-F947-45F7-928E-F4D69EA14A6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574B80-559B-4DBF-8F47-E3470B4CD64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8C113A-1EFB-4977-98CC-9DD867ADADA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0E3EEA-1A0B-4338-933E-CDF4DF58B8C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208F5F-6A54-470D-A4E4-EA41FA5489F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6EEC59-2007-434B-A681-A1661F13F44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8BDB63-63E2-4223-AC36-DD48E4BB1E9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EF9221-70DC-460C-B2E1-B1823286372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D5D202-5AC9-422F-AA8C-F6DB45A42C9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FE538D-572D-4C52-9E72-D0FB3D63E1B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E8BB1C-9284-4B7A-9038-EAAB5C9CBBB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AD53B9-377B-4694-AEBE-D90643527C4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0A83B5-953C-4DEC-8694-68AAF754A40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95D2C0-C58C-4F2A-B07B-9C4A7402730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9CFFF5-7833-4859-9197-F69F50A7104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ABC799-3F80-4317-B6C4-66C7209E551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CB3229-D5AE-4AEB-8D24-145E76A9DF1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5EDCDD-8FF7-4B6A-8E98-23ECB4CA528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4AF101-5EF1-4398-B1D0-28B5BA68A18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583E8D-D41E-40B9-8446-2FF71744E01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4CC05B-07BD-42BB-808E-35383C47B6C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AFC224-3E96-4F51-BD56-B4616CD9934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21B3BF-096D-4298-811A-BABF4CEF2C0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0C3BF6-2041-4D40-985B-D9D84CFDD9F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6651FC-6AD8-473A-9AD3-2BDBCA84EFC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CC4A43-8821-4678-B66F-62A3A2C30B2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28EBD0-4076-44E7-AE55-719887DB3BC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F1A50A-4089-4099-8641-BE9A9CA6BA2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473BE7-B279-4206-8C6C-81D768A052B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918C6D-1CF4-4547-AEE6-621BC290BA8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9375ED-979D-418D-A139-69B1A18471D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738277-8B19-4420-A716-04F8E87E188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F5B138-8079-4316-B1FC-896274FABCD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022B24-7E30-4633-A993-7C4FBA6C58E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30C9FC-CD19-4BAD-BF2E-8F53EF7D2A0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135091-49FD-426D-A67D-B25DD47391F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3F3C2C-EB86-40E0-9991-34235EF3B80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893147-6691-4A25-A499-09342A4C331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8C74FA-76DE-46D5-BE15-0FC0EE03481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966DDA-4529-4BCC-B6DC-382F00E3623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24700E-9FA0-4B04-AB5A-FB00C969E1D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7AD3C0-BF13-436D-8034-FD6E317892A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0AA9F6-7FE4-4E7A-A2CD-D00F616A1F2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84908A-D46B-437F-B297-CEF12074B94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B4CEDF-D09A-45DD-8D26-F71D2D7FE5A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5CC970-A4DA-48F2-B911-AFE0E017F42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5DAAB5-DD97-42C0-9E95-6C073A5FD93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8CDBAE-1A32-4CC2-BD69-76961382B7D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5E5476-D2EF-4820-BCB8-EF1B51ED7F8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2242F8-7DAC-4F91-8EFE-37CA913F308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D7C154-7938-4894-8459-923ED528BBA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9DF8CD-F9D8-4FBD-BC99-CB7598D1FDF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C2AB30-E6EA-49F2-A23C-1EEB823FCFC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EAFC40-5A7F-42B4-A4AD-BE9BAB39F96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E676C3-0E7D-4285-A138-7C72BA80E71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21CCC6-E6BD-4515-AF4D-6C6F04F9A3A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219D55-E1E2-4D3E-918F-5FFA87F842B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AAD12C-CA5C-471D-8E08-ECBE407D1FC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428C9A-81D9-4715-ACB9-45B66AED000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1C6E06-F8FF-47E4-9745-1B1D1398EE2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57AF16-F224-4F92-9856-4BB95715D2B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418265-8610-42F7-B890-9FD980AF7F7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E6E5EF-479C-4221-90FA-71AD93F932E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EA41E4-A07F-4DD3-87AD-FBBF095D8EB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151DCC-C9FA-4502-856D-8050DCDE100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E618D4-DB61-48C8-8752-3913052F822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6B8F72-74FF-4BEE-A948-CB61D705600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387AB3-58F3-40FC-9D18-510BFE866DB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474077-A03E-4721-BC4B-61AD7184B76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8183E0-F34C-47BA-B01E-7DD64B89C39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3F5BD2-1DDC-4E11-BB3D-273A79829CD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57AF42-237A-4526-8601-9ACE3FDE058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2A9C7B-E6E4-43CB-A4AD-6A9A959CEB6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3E90B9-5CE5-478B-B752-9ACF45FD30F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19ACB3-4BA7-4C34-8D5F-0DAD14A2647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D530F1-CBFF-409A-AD6A-3B98322F3A8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C1C62E-731F-41E9-8237-32A499449A0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DF742B-A09B-4C90-A38E-3AC8A06B69B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FC60A8-7B0B-4AE4-95B8-9C0F8B43870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83DECD-C162-4992-B520-0E260FF7B15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B24751-A1B8-4790-B76E-3962E0399D5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5F8207-17E4-4B2F-A2B8-D6FD1878628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FFA6A2-CF3B-49F8-BF36-F294AD74402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A86CD5-E1BC-4C2F-96AD-17C7D5D3BE9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1A0F59-9753-4BAF-A51B-A334C5813CC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8E1F9F-D977-4A1D-BA50-F18841B084C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21EABA-EE8D-4EE8-B4A1-13AD5C5E186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530EA1-F10F-413B-90C8-7A3217D9686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9C2E62-8465-4D8F-B253-E4538C66F18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8B567D-7DB7-424E-8BE0-CE1837D598A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5C3CD6-9228-4A3E-AAB3-2AE93C3D8D9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AC7699-9DEE-4868-9CB5-26F13258775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E36B18-95A6-4B23-91D2-D42556A8301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6BC683-B50E-4398-B3DF-DE188084C32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B559D5-7737-488F-851E-4417D680ABC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5C2E52-D383-4026-93FE-8428C506425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ECB2EB-61E1-4141-892B-862F8766480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70DA3F-98A5-4246-BECC-2545BB2E158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2705F1-7A8E-480F-B79A-03B5704C8D3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0D56E3-6127-4564-A903-9B4BC856AE6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942835-2325-4350-B3F1-80ADCF57523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E44A8A-103E-4E06-B13F-8AD17C3F95A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9A615E-B3CE-43EB-B941-BFC2A84E5D5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11A016-76A2-4296-92DF-5504C6CB2DF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063C12-40F8-45BF-BF3F-30585658ED9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D13315-046F-4A5B-9CE4-1746EE138B6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20B7A2-FB40-41A6-B341-90E999B1312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F46D98-167A-49E1-A50E-D3B4C268D5B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A1547D-4280-4297-8D1E-4CD69E3E3E7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DEA9BE-B9DF-434C-8F21-59CE1EC5B1D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BE1632-30DA-47AB-A1C4-3B73F130E60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90570A-C325-4190-A75F-F6C1292D6E9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7971AF-D318-4E29-89DF-53DE73E5BB5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C093FA-90D3-4538-A61E-C81BD9D107F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B6AE45-40D4-4313-AB48-6CCC05B9FF7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72742C-95A3-4673-A02E-18690CED218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EA3401-E2A1-4BB8-A519-9B8E9289EE1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F7D1FD-17B7-4B34-8358-36D999B62B7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408AFC-035F-46C8-8A27-9536C41073B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314F4D-4FF8-4FDC-B929-CAA00D72EB7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665684-CF47-4EED-A481-38FD4C8E69B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038252-1E96-4C4B-A762-6AF3297B15A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44EF5B-E1B2-4669-8FBB-BF804C44DF0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1BA902-3729-40EB-9FB4-4BC40035599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DCFBC1-4A55-4BEF-BA1D-FCB302C4A4E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15E7FE-E98B-4C82-90BC-6A969DA41A9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2AB81D-6732-4CBB-B1F5-0D61C4908D6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C158F8-18BD-4506-8657-7FABF366A56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FA19DB-E1FC-4B98-B145-52BDC1ECC8B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7505ED-9A22-490C-B219-94998153356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7D4D27-DE43-4A9A-8671-ECAE3849CDD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62E83B-DBA6-4979-AA39-E4029D92F5E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7D8492-3F46-4903-AEA5-5B8B3655838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487390-0C05-4124-99B5-C89BDDE0873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64A611-101A-497A-9AB9-C3786BBC41A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E762E7-DEF6-4139-B076-A16F34BE51E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8DC87E-7888-449F-948D-AD4531C4E6A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63EC02-61E1-4CAC-9C00-3E8BDC34EFF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8F4CCB-D004-4368-93A6-C110101E422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E7E2D9-B578-40BC-BC9D-7C1FC5CC6DB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717729-7432-4D24-8562-F09F5B65882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43CD68-6562-4B1D-96FF-42AF320E18F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58F756-93CE-4362-9BBD-59C9117B43F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B9939E-E7C8-4C85-9794-946A113D1AB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8ADAFE-748B-4896-89B0-4147C2F2631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29381C-6BBA-46F2-98FD-608E176102F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C90957-2D16-4B76-9B9A-B6DCC9E2CE1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0731E9-8D37-4CC2-890C-46124593D6A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246BF0-339E-417F-B4BF-9D00785077C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594A8C-CF4F-4FA5-959B-4BC511B13D2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72AFC7-ACF8-4EC1-99D5-68B3D49F1AA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64A997-D505-4AB8-B20C-97CFB920EA0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C74486-A630-476C-A081-7A5E5F4BA8F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B9E39B-149F-469C-B176-C1963D12E10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A01AD7-7989-47F5-9509-5AD59EF1A73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8979E6-E14F-43B2-A3A1-1DA8CDFF642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1B4365-6384-4A6E-9F5A-AD3631E5B56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5DB7AA-3A29-4466-B2C8-88D3FF87717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2235DD-1D34-4C86-83EB-B083D06D01A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E58B67-17CA-443C-AD67-48CFCF3F768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33665F-66EB-41A3-9EF2-DBAB3DE2376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3CC0B5-39DF-4AEC-AFDA-225D2060730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A9A705-39B1-4481-B58D-58CD7A2F53B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D2CA37-3E60-4707-AA16-ACD511B82BE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1F8F2D-6E07-4A0F-82A1-4D324A7F20B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AA9F91-F16F-4EF1-B08F-433EDF919B9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2149B2-5E4C-4B30-A826-0C47EECC3DB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9F997F-1019-418E-A5C2-57FBEBAB128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C55215-F56D-49B6-B26B-5457EBE6503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651212-BF12-4F22-A531-A76A0192770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C0B4EE-BC28-4AC1-ACC4-1BAB9BB5BF4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89A7DA-6E73-4240-BC75-20978471CCF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10AAA9-831A-48CA-8561-3D57D951F67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5AB35E-EE8C-4E07-A8EC-FFF3799263D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214E7F-26AD-41C5-A415-D40EB56EF2C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BC1A2B-B179-45CA-8CEA-F86487851FB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53593C-7A1F-434F-8C17-24A8AA42BA4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7318D5-18C6-4085-8932-47B3E91EFD6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8BCD64-B606-4C17-AADC-FE10F2384BE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7430BA-F977-4761-9EDB-C465ABE8515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A07C7C-C8E0-44E1-A47C-B3DCDE6D859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902D67-49EA-455C-AA6D-176E5EF63CF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60DDC0-E34D-4E83-B179-187AEDC1553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DA992F-81BA-406B-836F-F2362FF6A28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A202A7-7B68-439F-B925-4718996CD5D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772061-F677-4D07-9D5C-679205E9CCF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C3246E-F8D8-4F57-A752-83263439A68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2DC140-DF83-487A-8B7A-4D5BB3A8E0A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300B4C-312C-4858-8B9D-E9876C97F06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A3D91A-EF8A-4FEE-B919-783F33BC9D5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AB9F01-EC21-4D95-9E97-EF5BD32249F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BE5B39-A8EA-4AA6-AC1B-FDE33F37EA1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8D8039-F119-4911-A6E8-58D251D9D4A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AE5A11-4985-425B-87F9-E8FF9DFB109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AFDEE8-344B-4775-8467-0AC7375033C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7D53B0-BE71-4311-AF95-AAE211856C6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D57266-FC05-4461-B2FF-4C7A376AF22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30606C-6C2C-4E32-B78E-2EC9E3424B8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5CBC1F-0E56-40A0-8F0A-6DD0A690DB9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79F006-ACF3-455F-94F9-E7845958BBC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FAA3BC-9A8B-4AE1-B4A9-B43DDADDB9D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992900-3C9F-4DE2-94CE-055536C87D6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7F7BFD-EE36-4EA9-8AF2-95801899988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33E7ED-EA71-417C-85DF-1E902C4D31F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06076A-A631-4EF3-B53A-11F66353571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08AB53-1DA3-4F6A-A516-737250A887A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1FBDEB-6FB8-4BDD-96BF-A799B8F9BA9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D6672D-834F-4471-9EE5-5E7F370F68C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C0F892-3276-4C50-A101-86E9F623749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A43C7D-2B46-4F23-BD94-2563BF828CB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0BF112-5EB3-41C0-BEB1-741E8EA85E4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140458-871A-40FF-AAA3-FEA505932A3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B82510-FF7D-41AF-9341-7F4553A1E56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62ECA0-12C0-4AAB-8CB9-CED9414CD04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F941AE-6A2F-4BAE-BC87-F63E11BCA57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86427D-D596-4B3C-B3BE-28EAD686237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926677-271B-47C0-ACF7-3706DFE10A9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F583E0-3AEE-4319-8AB6-2EF9F92EAE4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406DAE-6595-4970-94FD-F90F18245F3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0A85DD-E355-4ED9-BADD-D9C4F0318CF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882154-C823-4E16-B7C0-2913FD8174F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515C5A-6CCA-49EE-BE0F-BCE8F09402A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3A9412-3047-4D58-90C9-62CE8BFAE89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3B4DD5-D3DD-41BF-9D51-839AC07935B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FC15C2-4E50-4A42-B202-D0BED06789E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BB1D3D-C52B-4E67-AB5F-EFA2811445E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E88B9B-CCDE-4200-91CE-CBAD55BA5CE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5D0B52-D128-4B31-9E17-88FE4600183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5ACEB7-0A83-4437-A377-2C8692700E7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7B0FE0-E4FB-49A3-81FF-8DF5F4AD3CD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B5DA30-29E7-449E-A0EF-698C8347936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230E1F-D818-405E-849F-CDC14F72DA4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902792-78D1-4E6C-9E55-329F20868B4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F7DF2E-D1A8-4CA5-BCB6-F35722A91CB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4BD362-A7A3-4F8E-8C0A-0E4215BC9B8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5CF4B4-6288-4AA8-A142-788A109C774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A4B505-BB86-40E9-A29C-646FF08554A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F37CD2-6A10-4E10-870E-22CFEFF0291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47BBAF-2792-4973-BABF-728508972BD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A363AC-6D01-44C4-8B7E-F53ABA0A6E6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A135C7-A46C-4C6F-B848-BE0D57889C3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E8DF97-65E0-4DAF-9EA7-8F548EC4EB0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AEA326-E92D-4721-8895-9967E0AC84C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2A6D19-D879-4D7D-8835-6BB79AAF531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4A63F2-7A53-4573-98C8-94462239CDB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CF064F-3C5B-4844-8C05-3D055DE244D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877DC7-5BB8-4F88-A09B-F105CA6EDD8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539522-06D9-4633-8CAC-E25326D76ED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D84B8D-8C2C-4DD0-8BFA-B57B8E9FD82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98DE59-88D2-4E0D-A816-30A665E656C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F416EE-DDDE-4A1D-949E-402BB72D52A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12F6C1-7EFE-436B-9D96-F2464D12E24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7103BB-6CBF-489C-85F1-BF7C151A84A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A8DDD5-C159-480C-BFB6-9E93D133EE2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303450-0B77-4EA6-8903-5FF134A2081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7FC8D4-9947-4959-B35D-5F738126E63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8C1941-0EFD-4573-9858-094CA6C447D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6A22F8-ABC0-4A00-B163-7B9D38C77DB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3BCF79-273D-4637-A73E-539A4C72F5C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7C1857-1D09-4B38-9FE4-ACB2E977116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7B3552-F6E8-4A95-873F-EF6FD57277E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0E419D-97C5-4506-B5E3-A80958EF9A3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D3FBAC-2727-4DB5-8FEF-FD5AEC3AC8A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F795AC-50B7-4799-89BE-D9E68F63D23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72ACE6-92D6-4C85-B146-E4580F35BE5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ADD5CE-CF4A-4E6A-820F-15798A7AD92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817CC4-AB19-40E0-ACE0-0A5E094920E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6C1F30-EB45-4C8C-86C5-0EE92576CD2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31401C-EA4D-41E4-9B76-918475E45C2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A50253-2C67-4D34-9B61-FE66BDC4EB1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E88B59-ED58-4C7C-B05A-9E4A228D306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DF5F7B-4C9F-4892-AD9D-76FA1493E07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1158BE-9916-4D28-8D7F-90FA2D47333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39BEDF-C38A-4210-81DD-1CFCA431995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8CDEF1-5EF4-45D2-B880-71E4F73C1FA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5EB235-4557-46D9-A1BB-745EDB9090E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2E49C0-E0BC-480E-AA55-66AB7D3DFEC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24D486-5F65-4299-B321-760736AC9F1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EB04D3-B21A-4D66-A8CB-727CC080301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4F7CCD-70E4-4675-8D10-E09E133CBD2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023B0E-0395-40A8-B0B6-FAAB2001929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904AC4-7692-4B7C-B8A5-598D34D3B00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B43978-F27B-47FF-962C-A97A19486E2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4BBCA0-CBB0-49D7-B811-BFD1035A62C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8E1961-7720-432E-8BAE-C5E96F10CB1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75DF35-CEB6-447F-BC30-9AAEBA3998B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0C0D94-4D7F-4FC2-AC13-276F3E91B6F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C07857-21D3-4F52-B650-B54AD5E45D5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69D78F-7DC2-400A-9954-1D98D904B5C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0DF3B8-1FEB-4339-95D0-86906051411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1D4DA3-B890-4130-BC6E-B705E5030D2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D2FDA3-2866-4C8D-B7B4-7E577CD9375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A71704-0660-4C16-83B3-AF9CC05BF33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A08228-0D48-4890-81D9-494ACF46012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163AF1-3D53-4FE1-9C5F-07482D62640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32801B-BF77-4CB0-82AE-BA2817CE99E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68F2E4-BF98-41AA-8CA9-7E5AB7A9DE8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1E9C35-EB52-4621-BA79-4B8F5FFBC68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BD7C24-51C9-4E76-BB83-D09CD25C0A5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5C30E3-F612-4A0E-A5AB-2099ADBC71C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58BA96-B0D8-44F1-9F86-62E421A2910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B3CEBC-9153-46D8-B1B5-D613DFB9011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551E53-C7AE-40A1-8827-53D9564F096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1B9D90-D2A4-40C9-9C3A-FFF226533F1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C73809-5584-463A-B93F-C2DCA482F10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2092FB-08C0-4949-ABC7-CD2A37DEA30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628C4B-2B45-470C-9944-11D4D36D023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1D2F84-F257-4BF0-836D-EFAC75627A4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70164F-9656-46B2-B387-76D0FE3244B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C0A7E7-1F01-436E-8A63-D4E3C156CB6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C56A11-09A5-45ED-8D22-FCDAA5B3CAE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A26A34-A99D-4854-8D2A-4C13230FCDF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263D58-8D9E-44E4-864E-37A0CAF5016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6E9C63-B112-47F9-A7B4-9FCFCDE276E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0E0D47-80DD-4CD5-BCE2-27C3DB41274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A7E5CB-1E66-4C72-BC8D-C8C86C4B927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63E837-0483-4EC8-A47F-19848BE22A8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7D4CEA-244D-4A07-B7B6-775DD36F159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E5AB41-78A0-423F-A78F-5F1262A5A6F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049B2C-8672-43DB-86AB-344335FE2E3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95A306-F4FF-40A9-A0E7-6400D636F47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54A0F5-BA6E-46E7-9C73-694879050E8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E18BFA-B823-4429-97A1-193E8064FC1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41179F-2066-4A6A-A345-DD2B936B156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030C22-F36B-499C-9EF1-7A87D87472E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E6ED34-FEFA-4575-9232-105B09D7761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D9253D-8584-46D0-AEB8-0A6942A8477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8B4B32-46A7-492B-9A7E-65F614CAD1B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59ED2F-ABB8-4725-91C0-AE7857247FF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8DBB46-43F1-40A2-AC1A-F9E43C2403B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891FE1-1165-4D12-8E2A-CAE6E577BB8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AE0107-2825-4084-83C9-DCEFD793749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E14E65-1A1D-49EE-AB94-8C6D801CAD8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CE8B57-29A7-4744-8044-56AF803831A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0FD5E9-BA30-40B7-B1A2-1760FE7E72F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877B51-337D-41FC-BA2F-515349EFD68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71DD42-8F0B-4C15-BEC0-A0590973FA0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695C76-859D-491E-A658-46C86E60953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68CFC2-F038-419C-A16A-6E862D32989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62BCC0-A964-4E64-8240-EF0725AE830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5C6000-728B-4EF8-9558-D748D61E56D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CDAA3A-BF99-4765-A778-B1A39981D31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11ADDE-8EE5-4B3B-949F-680372AEA60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BD0D04-6770-44D8-A0A5-2AC2EAC7C72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7F474F-4CC7-441F-9AD7-655D36B14C4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453275-3001-41FB-8DDA-7887A7D0225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66AC63-4E8C-4181-BEF6-95E268FDF6C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95BF4A-7D89-4BB6-8620-55CE097691A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51FB91-D918-4AD4-805D-93CDA7E316C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06ADE5-446B-427E-BE5B-8EE171BC6C1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B01058-3092-407A-9BF6-5EA1BFD8D81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D3D32C-CC62-402D-8E9E-102E3311EAB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358C74-A02B-48B7-A95B-F14B901E79E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DCED0F-3FE3-4067-BB20-6351426976B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F0A63C-05D6-499A-8812-3F496C11034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56EB70-9387-4AA9-8346-6FC220BB45C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715A63-FC41-4521-B6C3-25518DE9E85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616D14-97B2-4ED2-9661-C366210B7FB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5D3716-DB75-4900-ACC2-3AD6407BEF1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713DB6-A59D-49AD-BA03-DFF68327BBC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3CC364-A106-41DF-BF53-B64687B875C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DAE6D4-4025-452D-ACB1-A491CDF71F9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A1E0ED-AC2F-48D5-97AC-07FC883A089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45711C-8728-40C2-B4FD-6E301BB7105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398068-0172-44C0-AFFC-7960B3FAD3D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CEFB3B-AB5F-49DB-85D3-1437D5DB73D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55E378-DCF2-423F-9840-80E8219E499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BC53EB-71B6-4490-B9CE-24306003BE8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368C0F-292C-47E5-B249-020272D1D24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BBB4DE-2238-446B-A3FB-631A1ED430E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B1021B-27DE-4C94-B2A8-0A502AAF34C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AB34D5-77BB-4C2C-BC2B-83D6E181D7B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1AADF2-0C30-4943-8948-64656E57A46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779CFF-6EEE-4570-A336-FFEA8C2C6B1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09F200-6173-409A-B00D-265A06FEDEC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058CA5-5F39-4D10-BCB1-AAC4179C3FB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1CBAC5-86AA-40CF-A102-33CE96886D1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5807EC-3A76-4EFC-8F88-6D8EBE2FF94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1A661C-C719-47DD-ACA6-DA0EB87BC02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CD843E-32F3-4319-B5B7-ADFE5F9F7CF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6A0B65-A923-4499-B6A1-9A8C9F170A1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2E6BA7-8771-4730-A9F4-042CAD49F04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EA06C0-3135-4BF7-8850-9688B4E4AD9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A9E0B6-3799-4F6B-B89E-87F0F9371EB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61C4DD-FF96-4DD7-92CD-1ECE915FA55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8A0262-0A30-4336-941B-DEFB04488AF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55AEB9-B539-4F75-A823-8A44DA0FA12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BAB54A-7627-43F0-BDB7-D063F212786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F226BD-6B69-429A-B766-94DC9C5F1FA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F8458A-19E7-461D-8295-7BD38D7C0DA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AC436F-B39A-4C53-844F-E6741728DCA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AC43A3-CC82-4000-AB2C-78A36B383AC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0A57D1-24C7-4746-A958-B7EEA4ECF57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266F1C-48C6-42D7-8624-19814138A54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CCB3E0-8B86-4939-8969-D498A09A427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3E3A70-84F5-42C3-954F-96A71E88A8A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2C81C9-63B2-4852-8EA7-32B211D9B6B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F3DE9A-E8DE-449C-A4DA-2D958893ED7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757D15-0D49-4330-9461-4AB0BAFD68A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86ADA5-FDDD-4F3B-9017-E3DB410DE92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26AC7D-05D9-48EB-BD1A-FE7B752CB37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47E44E-500C-44BE-8E18-D06535D7B8F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C8B824-DF2E-4F33-8187-8CA49892A32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5047C1-85B5-4DA6-84DD-221C0DC9244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04780C-2DFC-4A16-8EC9-B52B5A3933B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A2C7DD-3324-4929-AF4A-6927200E741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FF892D-C0DB-498D-87B4-96DDA119D04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D17D84-F8B6-41E6-9BDF-E6A9065591A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CEBE85-1615-4605-BA95-D956B4127BF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7AE05E-1838-4FE8-AC7E-C06402176B0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A46ECC-3174-498D-B558-E7E476995FA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8C54EF-484A-4BAA-995D-A4E8EBE9BCD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847CBA-056E-4E02-A8BC-D8ABF1D37FD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6D2641-76D6-4A61-A84B-0F700FD53FE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233A98-3A30-484C-AD98-910A1A50F7F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18EBE1-F432-40DC-9A9B-EC3FC885DAF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D8AAEF-4D24-4AEE-9FDE-830B64A5942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185384-2375-4020-AC28-EC263204190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ED9A99-15B2-4583-90DF-5ED682ACC21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83A871-BDB2-454C-BAB6-30A6706800E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7FCD83-7940-482E-9831-6675910DCBA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9E6B4E-DF1F-4F18-9793-4B9E3351058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CD1224-CB24-4431-8EF1-1DF67F76B90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93DB35-22C9-4143-B470-E9BCFF0DDA5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628475-BA8F-4B60-B8B5-6BF815C67AE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F0F28D-277E-4943-AB4D-D9749049DC7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DF8E25-5FBF-4734-A324-BDC533DA7F0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B6BFFC-2AE0-4BD9-A4E4-B90E1000399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2850E0-D0F1-45DB-8EE2-3818E6EEFDF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C07080-ED44-41B9-823C-FE275820F1C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0B9874-41EC-4829-8138-EF8A5895383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9501EF-DF5D-47E9-9A61-085481A8128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30DF0D-3C49-4ABF-9444-1F2BB9355CD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0157E5-5B29-46D2-833A-73E76EEC61E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E259AC-7448-41A0-96F2-F529FD3AE71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33F2B4-E8C0-49F1-A7CA-5E07FE0729A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493231-3938-4F28-81C3-122274DF07B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B48A54-9313-4826-AF30-56C64F24D4F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2047FC-4A92-4E92-A553-7B3410B16A6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71D71A-A89D-4023-8A8E-0A2D7DEFC6B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4E1B2E-B1DE-4469-9C73-191D0DF13D1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EDC124-F9BE-4024-9A96-BC23C4103DF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26B3C7-F106-4AA2-A07C-D61A20D8E2E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267E09-0C02-44BE-B7BE-182230E8B3A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B5C5A6-6AFA-427C-BEE6-65129F0EA20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A2299B-EF2D-40B4-BC25-E003C1793BB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CC0240-B647-45D9-9135-3FF55A87419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B56279-12D4-4301-8954-6B9D7782C9F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7C652A-D51B-4FFE-BC7C-B62FBA5E075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52E7D2-86EE-4A23-A2B3-34610619151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F1EB3F-F0A9-4319-973D-81F908606E5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A51574-CF5A-4AC9-9DFA-C8A96A92AD0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7C215C-A89D-4D27-9CF2-00718D10158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A31108-5278-40F7-91F0-E2A0B675F87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5822E5-9F7F-4F2F-AB67-8EBA106E29C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C75CA1-31F3-41C7-A266-C77D9EE8492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ADCD40-C8B8-4B4A-B606-6EEB499EB72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167686-ED92-471F-AB2A-3E59F652091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AD97DD-F087-4C48-A9B9-4F975404DFF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BD1BA5-6C65-467C-8126-DF2C1671CE5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38684C-97B1-4910-AFE9-277AFBD5AC7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FA705A-E898-4140-A106-A99CF1A1BF9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2F3469-EF35-44C6-84EE-3C20B839768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BEB3D1-1FF9-4994-BB8F-90052076E35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1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EC3348-D1C3-4E8F-8CEA-5D282A86E1E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23C5D0-E094-4D6B-97D7-01FFB59E658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8FA9CC-8D2D-4D03-9185-C01F8A5287F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758B28-EA62-4E54-8BB0-AB83E1B401A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04E506-6AB1-4972-8DD4-1812248B8C5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528B8D-0428-4328-93E5-F62B351E970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B2FE92-26C3-49D4-9C90-5F638D5C329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C4D3C3-4633-4DFA-9A4F-66E5B942467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7EEE39-1D28-425C-AC99-1ED20BFA873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93BC27-D53F-4137-8164-DDF85C2C6C2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C7C686-9CB2-4139-912A-93FEC8EB021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1DD44E-FC00-4BAE-B090-F17C675D80F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D5CE58-4B85-4948-9459-F3821C298D7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747372-E9D9-4024-9263-85B2954B410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C134B9-D63E-42A2-9761-4E97A82B20F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93A625-09AD-4FE2-94E5-822A4312BFE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2A6D75-E1A2-4AB8-830F-0DD921BAAF3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E35725-18E8-498A-A947-736408EF065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6CA9A5-1670-459B-A75B-427F95C4C45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866D72-9C49-4F38-8AE2-E06C201445C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6A8FB5-B72D-4D3D-9ECB-1E112E63026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CCF6D3-3208-4DC5-BC69-A67548306B6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5ECED3-A61B-4BCA-B2D0-E58ECD6733C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CEAB36-F1D9-404C-A4F6-A9D6E384ED4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7462F1-D0C5-49F5-BBA2-A4DC904DBD8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4AC151-7298-47D7-A141-7793B7E95A3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EF84DB-2C9B-40EF-8F66-ABF65D3C816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80AEBA-0CC8-47B4-B6BF-44A1CB7561F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AEE588-07F2-48C1-A8C3-FAB1BC2984F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6EBD87-0690-453E-AAB2-99B8FABCA1D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20D318-D665-40D3-9BD7-91B9A64F28A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2FAB8C-0EDE-40B2-8439-CE5E4230CA4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FF6A0E-3139-466B-B954-C368431A0F7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246FCB-44C1-449D-A778-11A59443C37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1C655F-EB95-49A4-9A74-5618771C316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FB27BB-2D6F-4B45-9588-99F6E23AC05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32F789-30F7-41BD-BB3D-BF4D2801684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9898D8-6005-4FD0-B6F1-0AF9FFC9935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2F8742-3D75-439F-BEEC-59ED0B74C8E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5682CC-70E0-4305-8219-3184A4E57F2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B7DB61-56B5-495C-8B98-DFF47E4FE40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A26043-A446-4D0D-81E1-6429ED62CEF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FD7AC5-3290-4795-A399-70907440414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3DBB2E-F4A0-4C21-9FCA-AE22EB6D2F2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FA4051-4B0F-4EA3-B15E-219C282AC78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A5E5EC-86CE-4126-AC90-06F55522F64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3CC726-08B8-4213-8101-5E656D7EE88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C857A6-0142-4CD9-B30F-CB9B5A5467A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EF6CF6-5DAD-4AF8-926A-7B9AAB53343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59278D-875D-477E-9D93-B250B476EF5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1014BE-4331-4F50-B265-B5C3B5E0DCD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1C3A0A-887B-4D9B-AC17-531EC41A2CA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6ECC1A-5DE9-4389-A730-7BD44551F11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D65A84-8809-48C7-8817-54078008019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48139F-1943-4B6C-87AF-3F4EDDD9473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94C1B1-7FD0-4FBC-AFFD-84915051BF6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906332-2839-44FD-8276-B6586E15A9E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B93749-79B6-41B6-8A2E-E5A0A14BEE8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6C66D7-1268-4CE2-A8EA-3DD5525EA92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8FCA52-AAD6-451D-BA30-F9A40D3AD79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E929C0-5B37-422B-A1F3-E53083B9875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B0D741-7575-4490-A5E2-F29C3F07B7D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EB1E44-5B32-4AB4-A299-1FFB5033B7A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5F357E-0763-4328-B885-3A2CDFA3869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103351-E0F2-44BA-A6CE-EF2CA7B6300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1A9362-51EF-4E86-BE35-B63F8849E0E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E7FB23-6428-4764-AB36-9A92E96CBCC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225BCE-F4BD-4FB7-9C67-EA822B086E0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C36BC8-C8C4-44D8-842E-7492F648B62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F6A8FB-F4C7-411C-B920-9D5E2329D5A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E834D0-2D5F-4171-BDA9-A62BAC66ACE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970885-D9D6-422A-B187-DB3F3943148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197A02-55D0-485D-B260-64B462FAD3F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C33EC0-B129-4F7E-92AB-FF6C8A78EF5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9610C2-09C8-4AEE-971F-B20F002FC32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91B49F-2594-4FE4-888B-FC4649CDE0D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187776-DF95-4FFA-86E5-9D618781886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5129AF-D153-4C4C-8C8B-AEC64D98013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64EA20-05B2-433F-B452-802361495AE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A135BC-249B-4F65-A78A-780A719A44C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87CCF1-0E16-4E02-A938-A1D790FF906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47A200-BD69-4F1E-93B5-985E604696E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06534A-5EE9-43A9-8DCB-0D8E5398A67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8B9CBD-1A17-47BF-80A7-750FFAE23F0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0A812B-C96F-42BE-AEB3-5B939D5A8C2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EC89E1-C942-4FAC-864F-7794CEAD830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CF1308-2DF0-42C2-86CB-D3418EC7F10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A94389-C403-4366-9F9E-3D17BC0F431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F1A48F-4E09-4AF4-99F9-620889FF78B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111CB1-0E14-4AF4-9BD8-3AEA76B6EEA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51091D-27F5-4CA2-9924-C2019BFA2AF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263D26-7CCB-4BF8-8EEE-0AFA996BDF5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97F1DD-6ADC-47B7-B947-F73C2EDC032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790960-3AB7-4BAB-891A-353C75291FB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04AC5C-3569-45D1-839D-310F995F4F1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7AF09B-1F4A-48C5-96A9-33743FF64D9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0DE3DF-3838-4549-A8E8-4BA207C58D9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564A12-21AE-4889-9598-39B2F27B909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4AC009-2B5E-4E10-B795-344255BDD69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75C129-31BA-4226-8A25-111E3C901BD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1B5A36-7964-40E6-920A-BC6B1C14694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98DAC9-6D1F-4320-B5FC-4436DC73E34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77DA72-4C28-4FCF-840A-FF51B479C91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B2A0D4-53C9-4D50-BE8F-9291DE4281C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993E18-8DE7-4164-842B-B3C42B66947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88F2C5-55A8-4A81-8B9C-EAD49077C03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EAC926-2BAF-401F-8426-6EDE0740CE5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A417F4-9BDD-444D-BE6D-7A8AFD016E7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1F6D70-82FB-4E66-B183-6E4C74E5BAD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97F466-6351-45AA-ADDE-4775A197886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6DD3F7-BFBA-4320-83C7-63A68610B8F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94B2F0-EA00-4BF9-9AAC-F1AA6D4F48B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BDE0F3-0832-46F2-9D77-17FC1B16E25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A18E21-FAE2-44E2-B865-B3107CB41F1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3BA6D9-D763-435D-AA4F-F0C7BD039CD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6AB270-13DE-4727-BAF8-34BEF6E1A5A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B4B835-301B-40A3-8419-7FE1AA15B67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C6F615-DBD2-4CC5-9978-5BF2F96A642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B7B80A-F1AA-4D23-83B6-6F344D0C849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CD1113-9FF7-4A13-A791-DADE84343C1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A532CB-7EF3-4FFC-89A6-D4699794FD3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AB0072-D3C4-4D34-9ADE-5009FA5561C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87DAF5-54D3-4A90-88D9-C66838EC3EE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F9BC71-A03D-4055-9BA1-5E63D6A5B5E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5FD417-8180-4139-AD0D-1C6A310C437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4A97A8-8D88-40DF-BD07-AA06EFB0714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5DA6B6-DF05-4FBC-8CB1-87B45EF9434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2A660A-F9E3-4843-A780-8FEE36DD805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6D4639-177F-496E-8EB4-75200DEABBD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3B4E95-6CCE-46B5-8C44-EDD5E272123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EA5A20-1502-4DD7-97C4-1B8DEC2A0FC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48F28C-B762-4C0F-82E9-EB1D6A02ACA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E188DD-60A8-4F74-9F25-DE616A80A79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C5350B-C849-4049-948F-E9EA222E8B7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FB3081-1A38-4F33-98B5-110069422C4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64AA56-CD4A-4040-9CAB-E03748EFB43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85C477-C919-436F-BA15-C2B6D979031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EB95CE-EE89-4AE4-A46E-FAA5BAC6CFE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1051FA-5326-4612-B21D-BFE281688EF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F277DA-E9F4-402D-BEE8-B2877807B62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1A0CB1-2F5C-41E5-87FC-01F7F78C7F4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D6BDEF-504B-4BC9-A7CA-8A46ABA7D13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D9FE5F-11A6-4CB2-81B1-FE2BBD9E1D2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E1AEF2-27A8-4CF5-A9E4-53A33BEDD33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BF387D-4D4F-4B80-9918-EB973266E56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06B0C6-32E4-4DED-91AD-3941C22F29B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7AA56D-34D9-4C97-A378-AC16635E344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5AFDA3-8898-436F-97CD-40D55DA5486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B9469F-DC40-4FF0-B37B-D6CF168D804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462274-192F-490B-AD4C-33472000838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3AEBEF-D7F8-4C19-BCE3-6F5FEA19F40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44290B-B74D-469F-B609-F5E19C3F636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7BD42D-C432-4594-8E04-A10EBA338A9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4B79BB-4774-44C4-ADDE-8634F0E75E7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DB9935-46CC-4C8A-91A0-6F3B545AD7B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CB48C7-EF43-4D81-809D-85BA3BC2083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5B17B4-A73F-4D68-A784-3676FBF25C6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35C47A-4430-41A6-AA94-B953746A040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B6DC9E-F9DF-4C18-BE2A-D256A6A98A1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C9DD8B-BAEE-4E99-8CBB-642E978DDD4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BDCBAA-C3F6-4BBA-BFAA-9C1F4CF08DA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D9AAF1-AC35-4B85-9EAA-B4ACF890504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FD4F2D-7812-49A1-903D-DEF991865EC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B5EC3B-0D9B-42C0-8AAA-D05532B60DA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0F23D6-3375-490E-975F-BCFAB7F1FEE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271800-06A4-49AC-937D-B2CDDEFD5E0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D7C7EA-90FA-41C7-8337-0D8B8D652A6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86C4FF-A5EE-40E9-85F6-201583DFF19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AFB2D6-B33A-4578-B7B7-A9FE7A3FDA6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9EAEBF-9594-4743-8650-2D5A1F4450D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AF729D-6CAC-4FDC-8F24-DFBA67C3088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0C7A75-2B03-4B6D-AF67-13D5913BA10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1BA3F4-28F3-4A41-A672-BABB7DAE975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97934A-B95E-41B4-A774-3E11DF87896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60F261-0875-4A14-94B5-7634C9204A9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E19BC7-43C8-4FB3-9A53-8623D9B73DF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447A52-83BC-4734-9161-EEB383B6B2E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77FEE1-2FD4-4409-852D-D626504F2E9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9E1FC3-6896-439D-8FA6-A2DCA64B1EA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A1E6F6-D51A-4464-947D-BF3742D865D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4BF783-EC70-4B10-BC2E-0412A0B34D4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A7BFF1-3AE9-43D6-9C0D-D5A45357989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7C5D8C-B553-457E-9C46-0B38EC64771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6CDDDD-8AC7-4587-AD13-8F6EB7CC8EC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BDCAF5-DEB8-4315-81D6-4C206DDEE2A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A552EA-A482-4B02-9F99-C97FEEB3559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CE6D4D-D57F-4D2B-8D7D-38C0DE1E91D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0B71B7-DA65-41D2-89A1-3E3A932339D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15D167-2C31-40FB-82D7-67AF830B008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87D849-4261-4207-9A99-75034DE3214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B0475B-1F95-4F44-90F3-510965C1A93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3991E2-E0DC-4AAE-AF4C-460DD729939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D55BBB-B994-4C06-B9AA-624BB395E81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998A44-408C-4026-9FEA-7D219F80804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3CF69E-B9B2-4F97-AF3A-83C9B73DDDD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7CD73A-C2CE-4E35-B159-F33AAA3F5F3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28380E-90E5-48BD-9C41-21C9BDB561C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E0DF5C-E254-4219-938C-FAC9A3410C8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163F72-F225-4C41-B60F-3CE7042C10A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B6026D-FDD0-4807-9D74-0C9D89E7EDA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2A0993-D980-4450-B3A4-32C27CD8358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106</xdr:row>
      <xdr:rowOff>0</xdr:rowOff>
    </xdr:from>
    <xdr:ext cx="304800" cy="304800"/>
    <xdr:sp macro="" textlink="">
      <xdr:nvSpPr>
        <xdr:cNvPr id="2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BECFDB-8321-4E7C-B591-CCB1E638F7C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34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A1D724-E0B5-424E-8F4D-F585293DD17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F32D7C-0870-4BE7-B1C6-758BCE2FB2B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DE5A07-504C-400C-9A91-F5074060D17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D68905-C06F-4F9C-A6DE-2C2A36BCC2C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70A0A4-C808-4BEE-A7F5-EDDD4EFE114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153FA8-22A5-4A0C-B41D-6C5D56EC982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7119A4-5DD4-4994-B522-B3F99B012FE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76DD71-4372-4C77-9FDD-B64CAC9D40D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316ED2-E0DB-4265-BCD4-D03EEA81E1A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8F1FAE-DC91-4DD5-8805-C82DD8BD221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F9B798-8978-434F-BAAC-A33FDD640A9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AC72EB-888B-4761-89D0-EEE2458BD9A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426323-745F-424F-BFC0-B2FAFFFFC1F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993542-CCB7-47B1-BB22-E64DDD27A73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BC5D4C-AC10-466C-B4D2-E81B630629C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80B2D5-E742-46AF-99CB-8597991D807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E3A9A1-601B-45CB-B97B-D39F9D27FC3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8C4CDD-45CC-4219-A3B3-76F8E863DBF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E6B070-EE1E-49BF-BA30-B410C733D30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E05EEB-D443-46B6-9CBF-F01ECAD756A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448D43-BFB8-4E0F-9EF5-31BF7571130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3B32C2-B676-4621-8B3A-5C4F2A7FAA7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907B44-6FCB-4DB6-B880-B8253180679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C683C5-3834-43A1-9DE7-0BF03E6E423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3F5D1C-C0E8-4549-ACA0-36132386C758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5BD54A-BB04-4524-88B1-7405F534753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6609CE-9373-44F7-BB9D-EA4E3AE76AB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B35260-B21F-4BA4-8C04-7F2E8659CAE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7F57D7-8A46-4182-B546-AE71A212693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FA52D8-9025-47FC-BD01-572D5055421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B9D5B0-0697-49B8-87E4-5F1F51DD0DC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226338-5936-4BFC-B3C0-3336D58E77D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9304A3-2B74-40F1-B4B6-50D5A4A8ABE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7C5143-4FDE-47BC-9252-1C06B1BADE7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48DF86-88E5-4772-A30F-A9F20C22CEF5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63C8DE-6BCF-481C-85C2-CCEA1A88226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572560-1AC3-4CAD-B2E8-48EE75963FA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C363B7-5485-49D5-8660-D785C11043A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D760E5-1A13-4C7B-AC73-D628462A27B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86DD7D-3844-4615-9B1E-5A4E51C5C60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A2F411-928C-4028-BD17-554737647E0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532468-F7F4-42DE-9B0A-1A6F145B763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2CD676-F587-40CA-BEAD-FDD6837DAAF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5BC88F-6B73-48D1-AC3A-6446C483C86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07F4A2-DFB0-453D-A256-4F06DB5D024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55BA41-64DA-42DF-B17B-0FFD7316CD4D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C61F93-AD07-4EED-BCE5-8D6A83008A6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810BD1-1081-47A1-AB6B-C0DABC0B680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024B93-F5E6-4752-B6F5-E008D57191A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0BF66B-55EB-47A4-96FC-C3BF428EDDB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FE867A-CE1E-4268-9A54-745A03D0D0B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C1137F-E7AC-4C08-A0D5-2798951C1DB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A4BD99-1474-41A4-99DF-69A914E1F0A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4F8D4E-E7C6-4E84-B0E5-4820DED527E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E2EC39-76D1-443D-819C-E54BD72E277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86579D-05D0-4371-87C1-31ECC8D2C43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EF56DA-635D-4E9F-9F34-82781A2C5DB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3745D5-058D-41C5-9DFE-09DD483C081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21A64E-C06B-4527-A6AA-89782E18AD96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7CF30C-63D5-40A6-B287-FA6ACF21D27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962075-1B6C-45B7-99CC-04B7BDA6D47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D7A6D4-A93F-4824-A786-DC7F7A1BD58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A4122B-A748-41CF-8A9D-2A205FA5A3F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06A40A-BE82-4A27-B90E-CB4EE71B0BC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8ECF42-F665-4592-8C80-863C8AE1FE1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53DD32-6483-46D7-9954-E521446D842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82D86F-3CA6-44EC-AE63-EBAFA9A5733B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63A3A4-A0B3-41E8-B310-7E1E1FC5724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ED7E38-BE42-4862-9AED-98399E833D4A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432ADB-FAA8-4B03-809E-4C8B6290842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ADEED4-8039-46AE-98C9-FA8FDBB4B8DC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DF9B07-B802-414B-BAFF-6DEDE30D2C9F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98EE16-B454-4791-891C-379EB6305B1E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4958B1-D9D1-4559-97CF-E85B17BF51F7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5A78DB-C73F-4EC8-9292-BD3F052924C4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9A4C91-D50B-4C09-98AE-24882A28CD33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2FF0DE-EF06-4AE2-854A-8057A0F28880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A1D4B2-2894-4D89-B708-907298F9D022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CA3672-A044-4460-8758-DA781E9707D1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10</xdr:row>
      <xdr:rowOff>0</xdr:rowOff>
    </xdr:from>
    <xdr:ext cx="304800" cy="304800"/>
    <xdr:sp macro="" textlink="">
      <xdr:nvSpPr>
        <xdr:cNvPr id="2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18CB9A-3CCC-41F6-A968-F494A9B51E19}"/>
            </a:ext>
          </a:extLst>
        </xdr:cNvPr>
        <xdr:cNvSpPr>
          <a:spLocks noChangeAspect="1" noChangeArrowheads="1"/>
        </xdr:cNvSpPr>
      </xdr:nvSpPr>
      <xdr:spPr bwMode="auto">
        <a:xfrm>
          <a:off x="1158240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0BAC07-4E04-4DE4-8F01-233ED40055B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12F279-7D41-4814-A8C3-508802F83A2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B50B68-89FC-4676-8F11-548DAAD0589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9D7468-C906-4776-96FF-E1AF687D359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DCE0A5-778E-4829-B615-5FB26D02756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E5E3FE-629C-48A7-A2DD-625AD34D595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4E6844-1511-457D-9AA3-BAFBAB81A0A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84A3DC-232F-44D6-83BE-D54F0F99E52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872BB8-838D-4265-8AD9-718F9EFA2C4C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C6446B-D0B0-4F2E-A8BE-7E19CE166A56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C3CA30-FA62-440D-947F-40C7B83F7DC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4AE739-3740-414E-B2F3-D275A60D4AF8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583014-1A90-4C45-84A1-8A9606CFB9A8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15E20C-E26A-42C5-98DC-7E6C7FBF299E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0A9E3A-A071-4003-8648-C6E8339B77B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AAB0F8-5C13-4DE6-B222-B49A012807EF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0A1FA3-015E-4E48-ACE4-0F27F601C8C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67137D-1483-4EC5-840A-784E895ECDA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8D0E24-7CF0-4D0D-A36F-88860D41D768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ADDE77-85AB-4DF9-A967-CFF7BF0218F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B4802A-E214-4237-912E-95A9A7EA9ECD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2DA288-54C7-4182-B4FB-768D326E313F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C61993-DAB3-4C56-8B26-B8F234B44642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19A5B5-DF2C-4CB3-BAC8-E68D9BCE5518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D41C56-AE14-4FE1-B919-5A47A39D497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871CC3-56A2-4B1D-8D34-681FB086FEE2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A28656-D7FA-47B7-9B98-55DAA4890C44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D970CA-7231-4444-B149-E36CA7168AAC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9B1AEF-7EF6-4108-95A7-0B74616A1606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C2527E-67AE-4624-B61A-6BD611D649EF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097497-C61C-47F6-B0AC-1339FFDB954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848977-FA76-4D4E-8065-FFFBBA0F2D7E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ECAA0B-C77C-4F25-81EC-FCCF7CD6AF27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1DD3DB-EDF3-4B42-9F74-1A95632206B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F341D4-B9E0-4BF2-A1B7-6BA10761F31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2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BEEEEA-E152-4265-B23F-E44A70C0AF9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565064-6DEA-443E-A2FB-B0C2A1A8A52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225178-4636-410C-BAAC-29569D4B81B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0A77D6-0A9C-419D-B0FE-C383F50E32A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B60B4F-1732-4037-BAD6-A284F175439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6E7E6C-E8F2-4BA3-A203-C0A7AA51991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2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B9090A-BBF7-47DE-BB3E-D2592AD7BCB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78B4EC-F23D-453A-8BEB-554116A21BD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82F90D-C748-43D5-9160-6618C1ECD57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214674-97DA-4803-BFE6-97321899BEB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38D88D-62FC-4BF8-87AE-6553B4FB9D4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3DD223-6F1F-4C08-8759-8F13664C458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475549-8E28-4428-8ACE-200789420A5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61C913-8C55-4FC8-9D29-E43FE4A2E85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EEA9D4-3D91-4872-A76F-CC4C2A93C8E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F730F9-89DE-476B-910E-695F93125A8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858F6E-9EAD-44EC-A22E-EFB01D7B62A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2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5C9C11-F245-4491-91FA-0B7FCC3E467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53C95B-5AB5-4882-A5B3-0F4C9AF4656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058BA4-29C8-4989-83BD-DA14A865901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92C71D-7736-4685-96B6-14AC5FC190F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A07926-C86E-4EB9-BC2D-8C92A9A4F78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802035-303E-4F59-8942-1A4041179C5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04FA7E-E50A-495B-86F6-44F0B127CA6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47E0B4-C19E-41D7-B006-D83D129D962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CBCDBC-B29E-4663-93A5-A115194A11C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4B229E-12EA-48EF-A270-C3D9E56D47A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5B1D7C-14BD-4406-98AA-665E9E15C78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278577-F6B0-4E44-BCA5-50CE6146B59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C264B0-46E6-4376-876F-26FE288E633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1349ED-3E53-44C5-B04F-7BBB7CE8251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3B88D5-8D6C-4BFD-B7A8-468E8E9E427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D67B99-FA2B-4D07-9F3E-B51BBBA123C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66AE4B-215C-427F-9EE3-BD9C1B85A63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A0DE3F-7BBE-420A-9501-147B308E737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A9ED2E-2AC1-417C-8494-78D16089C5C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AADB0B-E91A-4C17-BF45-5ABD338D191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4834F4-A389-4444-B861-B3070B756D42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29AA0F-405E-41C1-AAD7-1C32756F85FF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9810DE-4A0B-4B2B-9665-0FBCF72F24D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AC54EE-A0CD-47AE-93C9-FA0CBB93CDEF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23A89C-6F46-4BBC-9F64-CC6364CD7C54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6E6138-14DD-4780-9326-57B05622D2EC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1E4E43-FA66-4122-AB14-C179A79329BC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7F06E3-71D8-4E01-9081-1816CDE4F4D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B57A69-6CFA-4C48-AF34-595F80FEEAAF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E36074-D888-42A9-B0A3-50E088DE782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FB18CE-7FAA-45ED-85BC-501F0D64510C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6F7A81-5EBA-45C2-9B4E-B7C4AA85A31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90AC09-ADE1-4BAF-B61D-26849784FF5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79AFB4-0B32-4E41-B825-DDD459BB6535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6C9036-389F-4F25-A5CC-FAC5E769F144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FD0CAE-A1B2-424A-B513-E1D14214E01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44133E-B5B1-455D-81BC-750DC69CFA4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C70E6A-84D3-4B5B-9FFF-D37303289FD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9D73F2-F9AE-4861-92A3-B9FA08AD5C6C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1D3625-7ABE-4B44-8F88-EDE3D64F736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4CA5DE-4B34-4A6F-8EAA-BDAB644309C2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5D492B-1647-49BC-97DD-E4286371885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14129D-ABBE-42FA-ACC0-45978F1593D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6CE7F1-2505-447D-98C7-826AB0B09FF7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CA7E74-4B6E-4F15-B99B-E5364A2E74FD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2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8DD3A8-0582-4182-9CEB-64115D61F4C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BE2AEA-D45C-473B-A633-CC52EC627E9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A92387-3DF3-4137-93F9-50ED920E127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7269FD-5B04-47DE-A685-3D3AB62874F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8A976A-6908-45B9-8BA9-6BBE577680B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844349-65B2-47E9-9F37-41C069C716E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2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695157-6D09-41EA-BF2D-5F41F0B8BC4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C224E9-FC20-4F91-94C9-77E7266E3FC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4A91D8-6E48-40EE-B4F3-75FEEABA2A2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7DB2FF-FDDE-4C8A-B964-7236B77A9A7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C962B0-43B6-4536-B1EE-975F0AA0970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A473A6-B9F8-404B-A168-C5064F9C408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735D28-5174-4077-AAA3-05EA8EE7F88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F04E45-3CE3-4193-834F-821632D7E52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B72768-AD31-42DC-9575-33674CF972E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56A159-0865-4DDC-8E7E-0FD9476376D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77F0BE-3E73-4179-B67B-C78EB408AC2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2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4F3936-DC9B-4100-B570-66FD77F206B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7DF3EF-684D-429F-903E-B52576BA4DE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CF88E0-064C-4F99-96C1-66BB6474EA9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A909C4-7A91-4EF2-924E-6558A816A85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78F489-1E3A-4462-81E4-CE62CF116C1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78BD33-28B6-420A-89A0-561B41A3751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9672D5-4DDB-45D5-8E70-DC32E2548CF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A21548-085D-467E-A850-49A2BDA94A7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A2C33B-36E0-4168-85B4-A8C317116BC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680171-BE0C-4493-9DFC-28215D7F971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1B8EC1-7DDC-408F-A8C2-D29EDA1EAA4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A2A349-F54E-4403-92A8-CB85EE987AF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62356A-A3E9-4EF0-98A2-08446F59C3D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B0EFF4-0E45-41FD-A084-B019743F1D0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CF7904-E202-494B-8B9D-8570D859FD8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483B46-1A2B-45A2-B575-A83CBD3B30A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9D2204-DC29-404B-B227-11E6FBD8BB6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37AFB3-4A29-4722-8FDD-D0AF1AD312B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1599F1-5F4F-4A98-A0A5-02DF1B0C5C9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AEEDFD-49D3-415C-B45F-35FBD20D27E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76C8B7-6963-49D0-A28E-2B3CFE052E3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23EEEB-AEF4-4244-A5E1-68577AADFA3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98E9CA-0451-4CF0-94F6-84561A3827D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BA0D41-0A5B-4890-97A8-DDBC131B232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0F0C75-105C-411C-B9AF-AD39B5EFE4A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B1D5C9-6BA4-490B-B180-EC89F2C9905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79663A-0ED2-40F9-B53B-4CFD54F4F51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401123-5A04-41E4-A6AD-1EA0688737A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DF9C4C-35B7-4164-8E8A-55BB6BF8074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F4E03F-AAC8-495F-8071-CCB9B6F518D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C3D280-0EF4-416E-B775-BD5F1454A9D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71B444-5536-4939-923C-C1C14EAEF28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73EC1C-D3BB-45F7-89D8-50CD42D8B30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9502D7-AAC3-4D7B-BA5E-B8729EE829E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45ABAE-9175-4926-98D2-39643814E67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7A49BB-0FC0-42C6-B135-374BCD9234B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2AD77F-0B6F-490E-8F61-54C80C415D6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7145E5-40A8-4027-9E48-8D70CDBB0B1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89E436-EE0C-4ECF-B46B-1F7E6C59DB3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8623D8-E5EF-4015-9A63-801F8867BEE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DDD42E-4650-4916-BCD8-0AB60AAEBF1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147243-CE3A-40D5-9C38-1BAC4528CC7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4CAD1C-AB83-4706-AE22-FFB5F80ECDF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B0065A-186B-4F0C-B18F-4FBD2F13847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70BDDC-A9BD-486C-B718-9F9BDA0906C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767723-A7E4-44FB-B22F-A477123AC42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49D73B-06C6-479B-B66C-FCD050B58D4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947410-C601-4442-ADDE-916B08062E6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BC1575-8BEF-42F0-8847-A760913E92D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1610CC-630D-47C5-9D25-9C97ACF9989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81B64F-3C1D-4F29-A7BC-5628DC591C7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2EA530-2EFD-4D54-8024-7F3234B731F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FBC03F-376E-4BBB-B0CF-BF45CB5F560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539A4B-4169-4149-AD30-A112BB6D32A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85A534-469F-4377-BB5D-5FC3E75CBE0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F16923-4120-4A99-9004-AAF74B95303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C30E16-9771-4E62-AF3C-9E337FC07D3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D05382-F9E0-4294-BA1F-A4DA1A48856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CD45DD-D3A5-4968-9800-BC8B1CAA629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483820-F745-436D-8469-91B0F4FDF2A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3E40DE-7C5F-4731-9E0F-D66B87E4808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56B6EB-712A-4BEE-A6DB-B8B627DAE37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6D4501-0E75-4B8D-968E-B90A13E9C6D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1A8B10-0B1F-40EA-B1A8-CE3E6C8A69A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0D83C6-29E3-432F-BED6-177ED0030A2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9C681C-8B8C-4C30-995C-91E7E2B8DEF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D64C45-BBDD-4C8B-B35B-F57B6682FAD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D9D5D9-E0B8-44F6-839D-C3DE8E83CC7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8BF0F9-E0BE-40CF-BB24-529A19CBD9E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40B16C-8A49-4791-81A5-8F6244AF8BC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D04D09-B5E5-4DDD-B567-14606012843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11B4A5-C959-452D-8FF1-EB10D11D4FA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3C1BAC-75FF-4913-B12D-867CC0CE17C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44D6D4-A7B7-4E61-AB04-04B7876A779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55770B-AC92-4BF3-839D-CB5BEA10DB8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D4285A-81CE-4C8D-80D5-193CF46EFEE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B8720C-36AF-4595-A1E6-86FCF462DB9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0ABF6F-6586-4FE9-8F2F-B4712624629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779237-5EB6-4DCE-B43A-9C3838B2FEB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F26CA8-C98B-4E93-9564-0A450891570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77AE50-5AD2-4E3E-A83D-0257104D2BE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8C7EB8-EF21-43E6-9C91-0FA067D3345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135029-57F9-49C0-951D-65059E3979E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B4A6C5-EAB8-4444-B012-DC263C2BE87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4F5C0A-BFD3-4362-8DBC-8684574CEAC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366B15-FF09-4402-9769-8E68CDCA123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9C41BC-25CC-40F8-9884-F12037DC6BF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4867A8-F3A3-4AA8-BBD8-0875D181984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800010-0BDA-49E6-8E79-C0E54329958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F9A045-FA89-464E-8DDD-640E3510F45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5B7989-31DA-46E7-A042-21AAAFBA5A4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983A8C-0CA0-499E-B2E1-11CFDCA1E47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B129BD-AF4B-444D-B83E-555C727A20E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2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3226BD-4A6E-489D-A554-47D13EFA415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2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E793A4-5745-43AE-A3D2-0628507E06A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ED6ED3-3B76-4E8F-B43A-D546043894A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6DE545-82CE-4EB0-97B7-A26BF2227EF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F8817C-D6A1-4B89-8FFA-D02C574B047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E86A3D-1188-4531-9664-090EE17BBF9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10CBF2-0CD5-4445-8DB6-2B8030357FA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2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4BAF12-8BDB-4A54-9C4E-0E91A9765AD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5E432E-F4CA-495B-9190-D22D3FB6B71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5CC47F-D85B-4338-82ED-B9A16AD3671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611576-6F52-40F8-9F76-4781438CC84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2FC71C-08CC-4E12-BC22-574275716F4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6E4443-F489-4E30-90FD-8FE3DA4E490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76BD31-9BA2-4FF5-98E8-7E3B9535139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8B9E31-9A96-46E4-B20C-401AB4FC966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7D6FC4-84E4-4813-A3C5-04024D58C7B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B15162-41A2-4EFE-91E9-5A80F0D2B8E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911807-1BAB-4B9C-87E7-81684565010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2A2D40-D2C7-4368-8CD4-7058894EC39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F649D5-2A27-4AAB-BDC0-FF20D5C736B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F25F16-2990-4591-8501-168704C758A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75FFAE-6DC1-44FD-A776-0BA4437ADF0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9FECE1-8D53-465D-9471-CB47ACC53DC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A3E61A-8D53-433A-AB5A-11C43AC0A95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F9B5E9-35D0-476C-B6EC-C1865B1D997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8893A3-3720-4608-873F-E7B464204B0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5834F6-3F54-4B40-9818-64A632A90F5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D0A547-4F17-472B-8638-1A448CBC169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2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3324F7-70BB-44DA-81E7-5A2A7EEC3F7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EDAE92-0CA3-456E-98F1-618BDFC5D7B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42F2F2-17E2-451C-B967-849C3AF2862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2DDF85-E3B1-4F46-9C2D-681296A21B9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55B822-9748-4CB3-B6D6-55A36542772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FD15EF-9085-47C2-B8EE-49433547F8A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2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AAE5D2-37BA-429E-BB15-B2A5F9485F5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AABAAE-2E53-4146-A839-6DE2463B19E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5D5525-3E47-45FA-81F6-242D87D2FAD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F5D703-3924-4839-B862-7526E33B5FA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042804-F96D-4A5C-A8E6-CD734C7654B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55D0FB-F612-41A3-AD29-31B280612AE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60BCD9-2653-40E7-964B-EBE65E68F52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127246-F6D6-45C8-9DC9-A480BF3AFEE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510704-85A1-4D32-B8A2-D99BA8861A7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EB5184-6E2E-4D2A-A486-9864C2481B0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EEE693-0ECB-41E0-B383-598BB9C574B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5B914E-F8BB-4B81-BBC5-80182D8A7B4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4CF439-BC81-47E2-BE85-27AC0829BAA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5D9723-7349-487E-A3B0-A65E2ECE6D6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68B8A3-1491-49F8-AA70-07E1FAAD1DE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6FFA4C-C675-400B-A497-48F7EC3A830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464E1E-2514-4239-B140-F1B7A05274A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D3E536-2BA8-4A67-A123-85C90B921C6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FC0593-96A3-4288-82DB-0BE077D2E2C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771FBB-D268-43C2-BBA8-712CD3BF910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2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55DC18-F436-4645-812B-4B71A703968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A5E6EE-D7FB-4A78-BF04-129F978E2E2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F9232C-34BC-44A9-BC6D-B0029C519544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C08392-CE0B-496B-8D74-82152948659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5E2471-5684-476A-99D7-B00D81E42129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F5770D-159C-4776-BD5D-70757D2B77FE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8ECD6E-6B90-46F6-B544-97DEE49A329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D3C6D1-02A0-4D44-96CF-0F41D415487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CA211D-5851-4E1B-8051-344ACD1E1F4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54E5B9-33CC-4C80-B478-B0F00EEC2983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BD7A9F-CC75-480C-BF4B-DEB194506C0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68B811-FD3C-41AC-B820-1F666D7378E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9E1983-C68A-4615-AA94-01690AA22B64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8E77F9-FF47-42B6-9A67-EC17ADC4ABD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C53B13-B2AC-42F5-BBDA-ED9A5EF26CA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43FE76-578A-438C-A427-1561015E7F4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1C0ACF-9A9E-43E6-A9F0-4DC025C35195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0BF9D5-9501-4840-B313-96C2D69CFF44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0D32F3-2BA1-41F7-A1F6-E1847821397E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82205C-71FA-4F67-A8BC-5E12D3D673E2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60FE37-B066-478F-AEB3-A4557DFF30B2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0EBEAB-9BA5-44BF-B507-FB44194B891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25ACE6-6ECA-44DD-B17D-18691EB0034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25D578-2673-4C4E-8FD8-110C2E00E55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DB42F3-0F77-4045-90C7-B0AB71321F2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9F3517-5B76-4EEF-90B4-642F58A7DAAB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C36366-F93D-468A-A770-F8FABF6A1D9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CB93A6-BF11-4F49-89E9-450A0F6DA46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A7F05D-82D0-4AEF-9CAA-01447D442A8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BBD23E-F1B6-44B6-AB58-34C56924BB9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B5FD56-CFDB-4C01-837C-BB658766E88B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DAA635-1697-4D0E-BBED-F2775EB34AE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D051DB-573D-4CB4-9216-84A1F020703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FDD3D1-4C0D-4C34-96B1-B0FD9469C225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8E70AD-FC4A-46B1-AF9F-62F66067996B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4892FE-C734-46B7-924C-4DB2C88087AB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5AD771-A151-454D-B76C-E4A2232A5A2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DDE0B4-4F3F-4CBC-A7BF-C558832CE2F6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C0AACF-85E2-47F8-985D-BB1DDF53A4AF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98F7E5-73C5-43CE-9593-170E068CCDB6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507C63-D98B-4196-A726-DFA1696D6F4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10377A-2616-41C0-9C61-477B591D30E6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CD7EF8-01B5-4A7E-BF02-A3F8BEFEB5AF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58A560-3F6B-4CC3-BC21-73BE33DB2E2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63FC2C-B886-4201-B68A-AD838B78FB5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9303B2-93B6-4303-8EB2-9A53BB4E0BF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59DB04-8F85-4BA9-933F-CD9AB7C4F7AF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295C4D-7D49-46EB-A0FD-54C4F2F22C0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FA33DC-3BCA-469B-9CED-8A9DC249EB93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0EAF18-68FA-4FB3-81E8-31AEEBB3CDC4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B63219-36D4-402D-94BA-0168487F6D8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969E63-0871-4B32-AF30-EE5A28C87E2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C22E76-67B5-4652-89F2-28DEC9D3BB2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0346C1-3536-4668-8BBF-96CAB3D8733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CE0D7C-A9FC-4CB7-B98A-A05E1714CF56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E4EDD6-91CE-4E47-ACDA-FE98C16790E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D3EB24-572F-444D-92E5-ECBAD938064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C3C39A-32BF-4D82-B73D-F4F8F97ACA5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219B87-5189-414F-A4FE-C27ED4801DE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9FC371-387C-45A2-A4A0-60F60B3D950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3519D2-277B-446E-90DF-5C3B9717207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D77B49-F28B-4250-82C8-A10CD180944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CE4EB5-F800-4073-A65A-4497E80426C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CC9C81-BEB8-4CBB-96B9-22007A138F2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2B60A7-8B86-4047-BD9A-CD48676992F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56A414-6127-4BBF-9BD3-1E8D1FDEF3E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67BCBA-1ADB-41AB-AFD9-D6CD07F9C04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6DBBDF-9AA0-4652-A925-183A2A5318C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5E7C89-733D-4918-9730-89C72C5C0AD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34C3F8-D4B6-4B52-AAD1-B5BF3447384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635966-39F0-4FB7-B48A-48AB0EF406B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7B219F-FA5C-43EA-A458-AA85F1D7B6E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BB0DCC-308F-4D6E-B54A-8C7F3A4BD70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2B6720-6061-457B-8C8A-AE16AA17C5E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A99D4B-03F1-4624-AC74-49D079F63E9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EC0B69-1BA4-4500-B76B-59E37D50F66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19876F-4C7C-4CE9-8F8F-765C7B67A14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271E6C-6CD9-4DF8-8A72-27028DF4D92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B876BF-DCA9-4FDF-BF92-98B680A03BC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05F425-FE43-4FBB-B4C8-8D06A0D62DC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E61135-C890-4482-A975-E6B0211F09B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26BE65-EBCD-4268-B85A-FA59CA52DA8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52A0F6-70B2-4A9D-AA8A-4EA629401A9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C7925F-DA51-4734-B7E8-22FD47462A2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5F5E1E-0467-4243-AA84-4A9C39BC49A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CF8BDF-19E8-443E-93B0-49F13490704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CC4C33-6803-4B75-BC57-0F7DC1D341B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84F420-55F6-4DB2-91F3-D1D3584D6E1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04F2FF-736E-41BF-A0EC-26BA2027F83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011861-1DC8-4854-8B2B-3E893A8DAAF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394D14-F886-4D58-9024-934EA7F90E3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51AD7C-976D-471E-AF2C-EEAE8A67DB5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3CC0F8-CD25-44BA-8718-F83202060B3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00063B-1180-47A2-B778-AB524AB4BCE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13FC71-ACFE-4469-A2C6-3C95E8BBCE0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01A506-7A91-40D9-8DE3-02E58056B3A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EC0876-A85F-4DED-B7B0-0F8CDBA392D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38B670-1279-490A-A7C6-CADF5A2A4C6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B3B24A-7BD3-4115-A440-E3534D516E7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E0546C-D16C-450D-BC95-6DB110E7803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D654E7-5F72-4536-8FF7-E666C834441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AED884-2F30-4FE4-9AE6-E0F2C65373D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160C3A-D727-4401-8A1B-4BB9F70F675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3AC1FB-3416-4102-8E8C-EED3BCAB2BC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05750C-C9C9-43AD-926E-F8CEA0054BE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4D3EA1-4349-45FA-A56D-58111FB3D0F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D57DC7-A676-4FA0-ADE0-BFD16B0FB70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320328-A2F9-47A0-8A10-7A70B029F10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12FF7A-F81E-435D-8C49-183EB559EC7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AD6918-AE43-424D-9178-C1284E26A0D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40DE44-BD22-4096-A521-334093E688F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6E4158-1CBC-49D6-859F-CB9B59EA010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5256BA-5BA3-4945-B404-53D456525D5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9788FD-FAF2-402F-AE77-FD2B638BF7E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A33E08-393C-45A6-AE2B-4A5E28CFBFB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863D98-E37D-4B50-9510-2A93574A9A1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CC6DDB-68E1-479E-95A7-5246D49F3C2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9D498C-C5A5-43FB-8721-1BE3CC427EC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7237DB-9254-4912-9945-DC0509F7BDA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7495C9-8256-4331-B214-AA23D652865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BD1163-D40B-4024-A213-484BE087E0F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4CB5C6-39AA-4AF0-B310-110844A5E38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E542D9-3DCD-4F14-83A9-3177226DAB2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3A50F5-A82C-4D1A-ADAD-278BFC000C4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B1EE15-CA38-4702-B3A4-1938D79F7F7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C1139C-AD47-42ED-B22E-D54758B5AA1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6D8D7F-F606-45B3-9C80-5E693840B26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3C8670-2C8E-43E8-976D-C23362A870A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F3E594-7D6D-46CB-AA49-040DFEC011B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F1FB0A-3805-4DB7-B3B8-4BEADF079DA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5877AB-540A-49A3-9E1D-91411EBDEC3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2F86EC-847A-4D37-8A3D-2856D027EE3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B883F4-399B-43BF-980A-24B7B4C289E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F1C148-9DFC-4228-8D5C-5839676DF61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77859B-3C5B-486A-830D-87CF535ABBC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585168-26B3-46CF-A821-7D5043126CD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AF2189-BD33-4BD9-BAEC-6E4D64CAC00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AFEA37-95A1-4C1E-8DCF-B182CD7F7D3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59BC95-4899-493F-A6B0-FDC2F9D7C35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CF1568-0D1C-4BE0-9A81-506DF8802F5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5B59FB-A560-41C0-B955-F31918DBE40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AF2DA3-50F2-4753-9F5D-E6A9DDB25E9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194E2B-4B6B-4440-AE3C-7E9C75DB232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8F79D4-2BF6-46F7-8279-C3D0B55E24A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73D995-5D3E-4B3E-A20A-B308D0A035B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33BF88-D0AD-40AA-9344-908225560D6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63942C-627F-4D05-A327-46B9AC537AC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370456-B2C3-45CE-B6C1-768DA0F5980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7F7A91-D679-4F79-90F8-F2B92611EF9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A325F5-2187-4682-B27F-41CA64A830D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3CDBFB-EF29-4DF8-A2E3-FEB74C40CFA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7ACB33-2D76-42BA-A5E6-7BEEB65108E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E68AAB-1788-46FE-8F32-9372BBCC980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525645-9F3D-4EE8-83B3-F6F99D0F390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1722C2-A566-49B2-8AD8-9729B43BEEE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B7514D-F7B8-4929-8524-AA343F623F6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FFE2F9-0F44-4951-9262-A889D74ACB9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FDC5D8-02B8-4EFB-A363-DB06C96DD89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BB86D8-3407-4310-92F8-47B26A930AE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2DB04B-C876-4BE4-86DC-008398B07B5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181BDD-D3ED-47CA-8ACE-CBC483355B7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CF3941-83C4-44E5-8265-E94EB303D77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052F1E-2C3F-446A-B0D7-8D5D2E6CCA2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3BA419-AFB8-4C98-8253-FB94BAAB58E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BB39B3-3C8F-44C4-A6A0-D5474F3F421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A0BDD1-F911-4231-9637-D873D7ECB33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006CDF-3C87-47EA-897C-FE79CA0CC74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23E694-C074-4E4D-AC21-C4BF98DACFE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22B6D0-D546-4FEC-884B-1000F5A6DBA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1548BB-63D4-480A-9983-21E1A5A97E6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ABA54D-587A-40A2-9BAD-219C8B21007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BA15B0-E349-46A0-8441-0DF65E153F5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0EF2B4-C17C-42CA-80B3-CC73948898C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08ADEB-5D4A-4231-A083-1BD94FDB7BB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0AD824-F217-4D73-8255-F3385B061FC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2CC4AC-4AB9-400F-8220-CC0373DD065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7061A2-95C1-4C21-99DA-AA02384C4F5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5E9510-B98E-47A4-9597-045EE437632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EA8498-8046-4FC4-9836-D4D31073B44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D767CA-3A83-477D-B48E-BEADD4FEA01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9794B2-0924-466E-A1A1-D81D7D42D4D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0AF2C6-DFCF-4F59-AC57-AB73F373C24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0D9B1A-B762-4D7E-9C47-5D34A0439E2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ECC058-C249-4065-92EF-B0BE5989F76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17809E-CE0F-4870-8EE2-EB23A7BE7BF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C9235A-0187-42C9-A491-276C47B3ED9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0C7D2F-93FC-4EFB-B861-D6A26ED5B14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4A8512-990F-4B6F-8617-35D09384EC9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4E2E0A-CF9F-4A5D-BDE3-3E807317E7D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05BB3A-3957-4E48-AA21-4EF68EA660B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81A5C9-BB63-4ECF-8D03-C451BADFD21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223BB6-5BD3-45B0-98A2-877563ACAA7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A1B8E4-938C-475C-B72F-1833FB73E50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7F02ED-CE4B-4079-8D20-E7910DB2747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0A855E-EC8B-409E-BE73-2849A9FEBAF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DF8FCD-76C9-4226-A9A0-7A0194AB503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6C5C9D-77D1-4386-AC27-15E4D8E1DA1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07D5C3-94C1-4546-B246-D4178C0408C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8F4175-5CFE-4AF2-8739-2A6B3EE0965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309346-DFE8-42B6-8181-79769A14A5F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CB3C93-418C-4030-B836-C20E4192C46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C4A4E2-0AB0-4B24-9321-1FCF4C10F7B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B226F3-4F67-4A08-B52F-A9FA57ECE69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5925C8-9E13-42B1-8075-B081B909691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3C65E1-A6B6-4317-83FF-AFC9FC7BB99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B765B9-4009-4E8A-8307-66C2E59CC4C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F8FB44-B177-4254-9E7C-C392C660826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0DE11A-9450-4A50-875F-5A2C9391A1D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1C2243-1877-40DF-8D28-E50B3A02C01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0C84F2-4F5A-4970-8250-44B244BBB1C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9CE776-D043-45C5-85B5-B38AF3BD017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586EB8-5FF8-4657-8505-12BBBADFBFF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D9747D-86CF-4308-A2D0-7A967F76711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E24DC9-AF09-4575-8F03-4B4267F4ABC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916230-7043-4916-9234-E85D52B3CF4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82B49D-007F-46C7-A1AF-9DC0497FAA4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6C601E-0DE5-4F48-8E8C-670876E5ED0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FD53D3-142B-4258-AD45-626E0454C08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A04FEC-3E23-45B1-85BC-3056BE3047E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7BAB7D-A002-4CF3-B635-25885189705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1646BE-EBD4-45D7-9717-FBDB0902176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8BF86C-C179-46B4-AE99-4E1DCA0D45B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B5450E-076D-4C2C-A2BF-69A301D3877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0D064D-7714-413D-94E7-E9903D74164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6997FC-7EF9-47EA-ABA3-752AD8B3FF7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BEFA72-6E07-4CF9-BD51-3105ADE8080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3DF962-7184-42B7-AE4A-DF16A97B3EF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F03665-53DD-4A8B-883C-9A45F6909B5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CF57F8-FD0B-404C-896B-FDE8E497381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4C5E33-E276-442F-AC42-23508FA686A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10598B-8D29-4131-9200-0CE1406072B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5B94A4-20AD-488A-807E-058577AFE73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78766F-E61C-4376-9609-F5C84D518A4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6785CB-C846-44A9-8120-56C83CE1EEE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2CFDDD-73E1-4C08-9A5B-9A1D600CA94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30803D-1F23-4F57-8E6A-A58E1E186F3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F7B6E8-7159-4810-A7D8-56438345FC2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B3142E-0508-415A-AF96-9CE3AE0AAED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8A7AE6-0C29-4E65-90B2-39B14783B80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A16E1E-1C17-4FCC-A61F-03F9737C3BA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344C74-EDF6-469A-A240-3E99FB5D69E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220BB2-C3F3-4567-9908-0A22346101A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3B03E4-3D52-4B7F-9FE0-4D33869D0E2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347AC3-4B61-4FE0-8A06-283DB5D2A03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07CBA0-6A89-490B-ABA4-93F9EA1B3E4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422B23-EA75-4E50-A4FC-6D5DABE38FB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35ACF2-3361-4CCF-A352-D093D008FCB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740FA4-034C-48E4-AC47-A513787D5FB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345F80-8AC6-43A8-93CC-04FEA3EABD4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CD3B7C-5A2C-48D7-A62C-3AF86B28FBC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0097A2-2BE8-4F87-94F4-B3F132AD5A9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E239CE-16AC-47B5-A0F0-E07BE4F42F1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411176-6DD7-4BC3-ACDB-731DD4C777A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D4453C-8497-4736-999A-2F1265E8B8E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571E5E-991D-4CB4-AF3C-B5BB68F2741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239E03-1F29-4CD5-B599-67B1686D207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7FBEAE-D1B5-4E0D-A6D9-100B0161E11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CA4671-B76F-4737-9CF7-03A3E336B56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1A499C-C66C-4AD4-9FDF-C6C4C05BCF4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7050DE-E60E-4DEB-AB55-B6042D13963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F6C101-573F-48F2-9CC7-9D96D62F6DD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9DF4DB-869E-42AF-96B5-80FF64F6F91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774F6A-086F-48C0-8274-39CA6D6456E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0A26AE-B421-474A-AD96-134A5191899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714375" cy="304800"/>
    <xdr:sp macro="" textlink="">
      <xdr:nvSpPr>
        <xdr:cNvPr id="2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0C0795-AF60-417F-90E6-4D1F3457985D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6264B3-8C19-4DC0-AD4C-6665C1B9DD99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93B268-F61F-4974-92BE-49007ABB689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13DABC-DB23-40FF-85B5-416E224B034F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DE90C1-B68D-4ACB-A568-0AA4572CBF99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C2E199-4FE1-412B-A047-6CC51C0C69B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714375" cy="304800"/>
    <xdr:sp macro="" textlink="">
      <xdr:nvSpPr>
        <xdr:cNvPr id="2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62B75A-D07B-46B9-A76A-93C19D19E9F2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019330-9B3A-4928-AD6A-2C3D925FD64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26EC30-B090-4193-9891-B851476D8C3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4591A0-1566-4EF4-A548-B4C1599FB7C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440635-8CCE-4B9E-BC07-732FAD13DC28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B2F898-B429-4000-9CB4-E10EF9FBF4EF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C55C51-7FEC-40C8-A5AC-0994DE46DBC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61940F-86B6-4F4F-95B2-0FAB7786742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6A45C0-B226-42E9-86D2-8831B94C7BE2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2546EE-CA63-4503-8D03-506A7A2C09DD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FE5CD0-4CDE-46B9-90C5-9F4A89AAF43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B49273-79B1-4FC4-9289-C62F3DE57C85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BC0AC7-49B0-47C5-8A5A-EDDAEB0BCAD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C07874-5E24-4A7C-A1E8-625917F00A25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C4467B-E369-44E4-80F1-D64AF0CD1582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B3A8AC-37D6-46DE-8791-BC7F7A1183F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CA75A0-4435-4CA9-812D-B64E1C458A9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BDE172-41D9-44D7-A470-5AF5A8018098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9394FA-33CC-43E8-8B05-4644A61B163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609EC4-D41D-4344-9BC3-E44B8ED328C8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DB7129-9B7D-4E34-83AF-42232E4FE938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714375" cy="304800"/>
    <xdr:sp macro="" textlink="">
      <xdr:nvSpPr>
        <xdr:cNvPr id="2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1C124A-2A0D-4758-9F4C-07A6AFA1FF4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833EF7-9225-4E4B-A91B-EE22F9CEF37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A6E285-AB9A-491F-A7C7-3AC878D54A1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D302E8-8B94-4F3B-89DE-967E5091C46F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E3DBDD-6E2F-40B5-981C-7E4D9FE988D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14D969-F956-4EF3-847F-5CC1B5E85305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975B8F-B43E-48B7-91B2-EB22F5DBF787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AC5B2A-3BBE-4101-B19C-7C83257A113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263BD4-B97B-491D-B837-697B4616471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41E3DA-F9A6-4DB9-80A4-28C97FBE9EDB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AB712D-ABC6-4C25-BFCD-393E2F8465B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2ED1EE-BB21-4411-8583-C5BD1FCA12C2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492811-9E4E-47AD-9189-CD1A2AB196AD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CCECF8-F944-4DD0-9B12-CC201EF14EA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B72D01-3D84-465B-B4F4-EF9B3929AF4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123C12-7046-42F5-BBD8-7B135D28770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E50890-D46F-4CAE-A2B9-785CA4A79ED7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8CED16-D3D4-4429-8972-27CBA1551F2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260746-90E2-4B1B-A861-532CE4B89085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C86B8A-4467-4D9F-A2A3-8A4FF98842B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8F967B-0BF2-4424-9AFA-7D63BBCE06C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1A377B-4826-4112-9505-FB6E00ABF32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30AF60-7A2A-417F-91FE-EF3FCE1EBADD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16EAEE-8EB7-4D44-8ED1-829F8E516F6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3ABB19-CB9A-4D04-8816-8F6B6913F01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59AE94-D3DD-4084-BCD0-BA35F0E71E59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55CFE9-8947-4BC9-A9A6-413B023C06B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5D8231-30D6-4CF9-BB4F-17F7816C23A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22504A-1186-4FD9-9BAB-8EC9B6CF04B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D62D1A-881B-41B4-9E60-7D9B1C36A57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50283A-4758-4B85-85B4-AEE8FEFA4C6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B00996-9510-45C9-88D5-B5FA58AF414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690454-A01B-459F-9F6A-73294DBE14F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2EE79A-98FE-4C18-8424-8FF3705E4C0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6EBBDA-F7F3-4976-9828-34F29C67EE7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1DE94B-80B5-4E37-93B2-26E96FCF62E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398096-E555-44C1-8A65-B663C80B246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20F1AF-8D62-49AC-B059-93AD93BB143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161AC6-A90B-4F3E-BD04-F8F35E21CFB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E6B102-94B1-4874-B7A5-52BF38D8BEA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E4FCBF-9CF5-4D48-9BD7-A4F952ABD8E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10314C-6092-40C7-B075-FBAD8D9DF29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2A65FD-33E7-4DED-AAD6-4C47240BF1E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7CF142-6F65-4FFF-905B-09157E427F8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7BC8B8-7FDA-4909-BAFD-849B288D852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ADC03F-DBF1-4938-A7C3-22415F9BAA1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0C38BD-4876-4D83-9523-701F08AEC89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23F5E3-7551-4EC4-95A1-39185C95421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29FCCA-4579-4E54-85B3-B6644448E6A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C1A6B5-1A8F-46C4-B52E-F05377B4D9E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96B657-289F-4C4B-A782-F1B001514B3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998D63-4754-4156-A74B-9B2D76B4732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D9E6D9-88D8-46FA-8148-651ED2F74AC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0F7B46-F2D9-48CD-8012-33D63690CB8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B029F8-E574-4B9B-AFED-F6809BED509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9F1AC3-8083-44D0-97CC-C627AF650BB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29C627-199E-4038-847A-697A1146DFC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11EFF7-9223-4B32-A425-7A724D0ACC6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7EAC8E-C38C-44E0-A832-EA96168244B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C08327-D664-4725-BFA6-7F512A46901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0F0D85-D234-4906-847D-8AD9939C4B6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0040DF-41DD-4EA0-B84D-F424BD9C5C3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85D956-660A-4E47-A4B3-B9B4744E083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76A6BA-1AEC-4B9C-9785-4E531CF469C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F709ED-02F9-45FE-9015-EA09CD37B66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442300-74D6-44B3-B2BE-B6B9C0B5B92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53B261-6087-4501-A52A-179D4E3529A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466346-C6B9-4ED0-9043-7EED6D7AC78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584036-04E1-4B9F-A79D-BFE41887D80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699FB5-6CAC-406C-8E32-BC38F61D861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16B8F2-3B3C-4527-A07B-4C5441B6BE1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98826B-A1F6-4BBB-AA87-B5D715F6EF9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97E4A5-46FD-4836-8F4B-1CAFF8EFCA9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6D9ADD-9D01-4AFF-99A2-692E7A1D5A6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6F99D2-064A-4CE9-85E4-6F26B438764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C8D011-17F7-46BD-B6B3-673F1E4FD6C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711F72-C853-4E30-95E5-AEA05A6A22D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630958-9723-41F1-9473-E504D3646C6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4830A4-7F77-4773-A9C7-0BCF007A149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80ADCA-1860-4950-8817-BA9696B299A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B15B4A-D28E-495C-AC37-24D13B49316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71D08F-B455-4C37-A053-43BECA51071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F61712-6F75-4EC0-9E09-8E984FE63B0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DF5E68-870A-42F4-9149-7A06D68DEB0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435CDC-0B24-40B7-AF5C-0BEE9A76F9D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EA3712-FC51-49AB-88C8-06AFA992747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9098A4-96F8-44D1-B719-51556885403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DE4AD0-060C-4C17-934C-DB20F916069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343BA9-8824-41F8-A1B6-9BCD3E3A257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7DD797-097F-4B5B-A1AF-6B29C4DB328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7B37C0-FD92-41D5-B17F-C952D052797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1C5C2C-1473-4B95-8DDD-1C373D661CC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83FB86-619A-415A-A20C-656F2A6D4E6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C849B3-D848-4D3D-A95C-03DDEC72527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E031FD-60BE-49AB-9018-5585EBC46FE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A09A1A-DB8B-4973-B4CB-A1C3918C891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74E574-498D-4134-966F-75B40702F5E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545611-C7B9-4E25-BB25-F7614A14AA9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036C0C-38AE-4698-BF71-BE3848C75B7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116BA2-8033-4BF1-A494-DB251F373FC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3958ED-95CD-458B-9F81-D349E19204D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D59AB0-C9AE-4922-A272-698EC1FCD01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D1D912-DC40-4B5D-B1DA-2652BE87B08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523349-5C63-49BF-8CE4-54453982F23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3F009C-BA35-4058-88FC-2CD5007F46F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BA747F-4DCC-4DDE-90CA-31C3697B55B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067244-4F23-440E-A843-6F1659A05BC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D4BA31-7E18-4CC0-8102-ECDD783F9C0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7A3421-AFB1-43FD-92E3-6F0710065CD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4A28F3-1697-4517-BE25-74376CD13B3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BAD7CE-2905-491C-8CB6-B501E911E62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4E6894-E651-456B-B96E-24841E2C9C2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8DC8D8-8854-4A3A-9DEE-C9A9028A1F1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7A53F2-6237-46AB-98A9-6C626FB9AB0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BE8BC7-34BB-4E2E-B628-DD336CF7524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4D4586-29C2-4D0B-947A-CF591F01E4F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76ECAE-ADE5-4CF2-972A-742FFA2AE04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8D2AC8-6F48-464C-823E-FB361EE96F0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8264B3-141A-41EB-B8D1-728541361BB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9129A6-98FA-4437-83D6-81EB94DE375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D7F3C5-F88F-4CA1-BF53-CC7351D5467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6A1B5A-37DE-4F9E-89A0-E991191057A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3776BF-A74C-44F3-9BBC-25273DDE7B6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9406C9-B282-480C-86A5-872A738EB36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DFB9BF-89C8-41A9-8DE1-EA864D62CED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14AEB8-3D46-4322-AD40-F6862C1C944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8252BD-367D-4200-879D-CF2A0909368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60EAE7-3481-44A3-830D-6B7020E0B51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41A428-FD74-4E68-9987-06EDDE939CD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A7188E-E103-4D46-9194-3AB84B6A2A1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F329BA-0639-4B89-8E9F-CB2E0051378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23F060-0393-4CDE-9256-91025DBB212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20858A-6131-4F86-B34A-2B316EC7A9B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EBB5C9-8CE5-4D8B-A32F-8F29BAA5BFF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6CBE0E-F0D3-42B1-9CD6-544DA798477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FDDF5D-856E-4DCA-91A5-0A334D761A4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B4EE70-711B-4B38-8B0D-2E71F48A622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481547-75C5-49CC-A211-D4AC1ABCB0B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31F1F1-6B8E-4D5C-954E-A8B23CC6946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0CBCEF-38FF-49D3-AB97-45F8E1B4A4B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B8764D-2136-4267-B648-2CBAF7905C6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F3CB9D-9970-4500-9625-15FD0082B8E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A5284F-2070-4D64-92DE-FB986362825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1B7125-0477-41CA-B6A0-F3E78D19B97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97AEED-49F2-476B-8943-A6E9A71F6DD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31059D-4035-4DA7-911D-0FB2B8DA1B8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CADE96-EE49-46E7-B21C-E3C5D290F85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0A6A59-FACE-4975-8FDF-769E3638D90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71F3E0-A7ED-4CB9-AEE6-BCC5C316BE2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3301BF-BD1D-423A-9ACC-FBE6061B406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E7BF3F-F5FB-4722-B9D4-4E489BEC364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97BF2F-0875-44E3-B421-4121D9CB02F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389F6D-44F3-4D25-8DC1-E713BE3B68F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9AA890-8324-4654-B46A-8D4A3249BF0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37AB84-9885-4BA5-9B19-3D973C01E4E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E44EA9-8ACC-4067-B0ED-8C0CD876D0D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28B70A-0F03-4A61-BDD1-F19E4A14457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4EFA9C-9686-4530-A557-4D08F9603D7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4089EA-5D5D-496B-8BF3-2B959528E40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1B533B-AD70-422A-A803-C694FE2A226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4BAE44-CCA5-4BFB-8C97-7CBAB2F06AA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85493E-98C2-4566-969F-F86C5143C08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B9D304-2954-45B1-AF33-5E9FC283447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711499-0BB8-44A8-86D7-6EEC4F9EF87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E07211-F72A-4617-ABC2-DEB747912B7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00766D-455F-4C8C-8D53-EC881C3A95C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93A213-868C-49B5-B908-F27714B0C81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9124DA-F458-41C9-8E9F-2A1618B1147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4897BC-9F9A-4BCD-AA6A-D3CB7091D85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0C1EBE-618B-4F35-8669-3B2A1490873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7B1800-749E-4CE2-9941-374379DA3C5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2DF6BA-088A-45C7-AB1E-A9BF13E581F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BDF129-F5FD-400F-A3C1-E33A1A144BE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615F73-93C0-4AD3-B8D2-CBC26C9961A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C8C9DD-407A-4BDD-9769-F4BD31AF387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FD28A4-2616-4F6D-92EA-3F2B484B908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CFE974-5905-42BF-A041-0393635FC2C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5D7A22-4C9F-421C-AA7A-85BD872C89A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11254A-ABC0-4402-8E69-8AF77227D81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10C996-C197-4606-9F12-982170DF1F2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8693C8-60D6-4DB4-AA97-82F5FE192B1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714375" cy="304800"/>
    <xdr:sp macro="" textlink="">
      <xdr:nvSpPr>
        <xdr:cNvPr id="3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E7B4E8-9B99-4E40-A4C7-E5AF4D8A8FA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C507C9-8E18-4708-BA6F-02C67948CAB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C2DEA3-ED5F-4A45-9882-42DCFC7FDC1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5853C7-3E99-41D3-86DE-88BBE297330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169B24-E4CE-420E-835D-9409E385D27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FEAC92-E104-4A02-A954-2AAFCF586AA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714375" cy="304800"/>
    <xdr:sp macro="" textlink="">
      <xdr:nvSpPr>
        <xdr:cNvPr id="3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B03522-88D5-4930-A73C-C214EFBB4BE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2D6F4A-E7E5-4EC9-80F5-4DD3C389D0B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02C93D-FE95-4010-8976-A45266B0269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B5D694-A304-4E89-A0DE-AD52EE9811F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19C800-F663-46F1-9C25-D336CEF3A67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E1FD4E-D688-4341-9C16-33D7E084D1C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E0858E-088F-44DC-9EDC-445ED5DF329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C55B85-04B2-4E43-976D-BA3D66EECDB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8CDA41-71CC-42BF-BB7C-B8044CCB356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FB4AB6-D75F-49CF-9F62-698CC2ADBEC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475712-FAF2-4F5A-9194-6C55D4BD439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294001-A41D-4567-8823-A38C3F968BA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C01C5C-5ED4-49B4-83C0-0B4F6D4A232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F9966C-56F6-4C42-A62B-C8B34336B2C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200DDA-3EAE-43C1-AD83-736E08DF644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0144F9-612F-4524-BC7B-BF1F3F88930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5429EA-B809-443F-8DD4-D2255E9E425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4E1D4D-2F6C-4361-A746-EB99919B857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142C97-003A-4C62-A46E-2C9884C8539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609390-1910-4079-9211-C42B2508E10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61EA75-678C-40A5-8B7A-F615A720736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714375" cy="304800"/>
    <xdr:sp macro="" textlink="">
      <xdr:nvSpPr>
        <xdr:cNvPr id="3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7F5AEE-C230-49BE-8D2B-C43A17304F5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4CCEB4-43F4-4921-9243-D995DF4612F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4330DD-28CA-4DF6-949B-E3322DF8E14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792B26-5FE8-47D9-A0F6-C140659ED46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29F9DA-6DE3-4EB0-855F-EA0CB1449F2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B5A005-35D7-4383-8DBD-153C8F46DEA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714375" cy="304800"/>
    <xdr:sp macro="" textlink="">
      <xdr:nvSpPr>
        <xdr:cNvPr id="3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BD4600-E214-487B-831A-D9C7EDC59E3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9A4310-A1D6-4B29-AF5B-D243FA87878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AF8D0C-F0CA-4B90-A470-C0E05851CB8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3D7959-7E92-44D7-89D7-BF1492E8489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44E8FF-A3F3-4E8E-9F71-E82888809CE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EBFF65-EFE8-4681-9254-669E4EDFB9D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64DF46-5DF8-4C2C-A631-EFE2695E5CF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98A605-5875-42D2-8011-1DC406B40DA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70D6A8-564B-453B-8D83-3A221ED3586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502857-E966-42BC-A077-5FB657BA7B7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5F7063-5C76-499F-82B9-8752377162F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F36A23-3A3A-451F-A472-61AF18D704F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D2746A-457B-4B56-A18A-20CBF699F19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11CD04-617A-4A9C-B0A3-77D0C62425F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D92F57-A462-438B-8132-03F56EC7125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2A828D-9173-43B3-B543-58300F4F119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900051-BD12-4F2F-8981-B9EC33976B4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8AD864-2A7D-4579-9AEC-F0A1D1C207A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CE4594-72C4-4982-AD09-E7F2F10CE5F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4E8497-3A81-49E9-85AC-52D91DBC18B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1C2B35-9946-4908-A9AE-5B940E0F7B2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5DC44B-A3AF-4DCB-AB33-9F381B6AADC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EDD822-F76D-45B9-90AD-62DC5138A6E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9E0DAD-C5BA-4251-B28D-1E8AA4CF534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EDEE08-35DE-4B46-B92A-A984D9FD5E3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F5CFB6-8088-4C31-BDF1-614983E25E2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D09D2A-CE2D-40A1-AC93-1303FB30040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5B614E-4AA1-4E79-AAD3-2DF98CCF7FC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6131C4-0A36-42DC-8536-A254F4A2D61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A578A6-FB29-496B-9E74-ECE084BD595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E084E7-9033-4484-BA92-2A37336794E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400C5C-0980-40B0-8F8D-DD1CA2C69D4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BAFB63-05FC-46DE-A7B7-CA723BE1FFD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E5C6F8-8338-424D-963E-1A1526E7C1B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700312-8912-448C-806A-946839C0548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15A46B-59B3-4420-B265-C3586A77E78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D7A971-443F-42E3-94C6-0446F1A33F9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C6F4B6-64E2-4205-BF59-B0564D618CF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06E090-15AF-42C8-9C69-261AC0FA54C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CBD24D-2C59-4D1B-AE9B-3CA22B0BAA2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30C861-7F22-407F-A31C-ADA9DE92BA2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32C31C-23AC-4EB5-A1F0-557B8F5845A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7F4B18-A1A7-44E5-847F-FD141997C5D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38554A-A112-4334-97FA-BCC8ECDC0F7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46FC26-172F-4B8C-BA42-8C83F1B70A6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58C627-7F08-4B21-BA6A-478FF0281D1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01AFEB-DF2F-44F9-BA82-19A683B458F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3B258B-8465-4D0A-B96B-BC8095150C9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D48852-6DAB-4C5B-AC28-1C9B07D87DB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7B6EB7-2083-4AFD-9430-6B75FD24F90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D04CD1-16A8-436E-B032-E14AC9CB0E7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485483-4940-4200-B009-0DF4F708351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087B98-7BE5-44BD-AADA-6EFB8B6D363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7038CC-57A3-44B5-A729-3D538BC5BB3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71A751-AC7A-44FF-9C53-FEEE4A55297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B96694-4B95-4470-A989-EAA054D3AF9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FA20FA-353F-4728-AA32-96CF1F850D9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30A551-E800-41C7-9ABC-9F0EDDD0091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FD9279-655D-40F8-959D-958532A9F5A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1705D8-83EC-4CE0-9087-A560920CBCD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FDA624-40E8-4D1F-9AC1-BC2D747E1F7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B518BE-7975-437B-BC54-4770CE4EEAC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6E1537-F6C0-40A4-922A-707468AFCE0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E31867-91E4-4183-8403-BF84CDD9289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5E6F46-0763-4174-8B87-A5BC8AC1994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3ADC4D-7637-4B4F-A2FD-B03522C8617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6BB97D-D986-46D1-B462-9B69FB98BD8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C80C1A-20E5-49DB-91A7-A0569775F0C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03AFE8-E537-4530-993A-DCC0AB304D1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7C5D18-F098-4B0D-99AC-A3D0B44BF43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3387EF-AF00-4278-920A-875A971BDF3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BD7B0A-3F05-4B00-8E2B-6716BF7692F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F08C77-775F-463B-A315-3ED334016CD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E555D7-D6FC-4B52-B48B-D7530D0BD7B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912868-6C79-4083-9819-383064AE2E7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2AF950-4A5C-4E2E-B28A-308D198BD81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7F82B7-6E54-47C3-9C7A-5CE8A9FBB25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100F7A-A576-4D4B-89ED-27ADD67AFFB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687F13-20AA-4075-80A8-8712AF68496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52333A-043A-4DFE-A041-690C07167EA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DFD40E-276F-42CD-A164-7A408A4CF1B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38D86A-D394-45A6-9604-B6286634541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FA624F-F969-4089-ACC7-4D340355F2B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04F9F9-E3F2-42F9-8EBA-D427251DB0F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A245DD-8FD3-435C-885E-55E42F0A991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91E0FA-8264-4313-9A82-FF1CBAF5F5A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3DF0DD-99C4-4BDC-95F8-D467537ABF2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F11ED3-A2DF-4C89-A2CF-3CB917A6DFB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CC2A4A-3052-43E1-838E-A6A8C2EC6C9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E43883-4B3A-4C19-8B40-480484E9C2F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07EB2A-6ACF-4F61-904A-C012A66BDF2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58DC87-8434-4289-8945-492E2EA484B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E3B512-BAB8-468E-B1D4-1B30049C35C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FD5199-DD3F-428A-B95D-819B957A726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8AC807-E8B7-498A-ADD8-69A19AD6E52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23DED2-C70C-4359-BC15-1478CB48DEF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010695-E86C-464E-A127-7BA616C152D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BA370C-7F6B-41F1-A3FA-C40B2458D28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E279D0-3A07-49C7-8D3A-1E93AD0AF90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6D22A3-F018-4022-8EB0-B575544B1CA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026B74-8C45-407D-8B65-8D09DB66170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A2107F-CFB3-45FD-9FF4-75C4C3D84C7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43E5C5-8A53-4BA9-91BF-0E33A3D2893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FD1EFD-5B05-46E4-B27A-B8AAB39C9A8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5F8310-F301-4406-89F2-03F146A1739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D3F9D0-1AA7-4465-83D1-E5F9E358F7E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ADBB60-CD1C-45D3-AF64-6B260DF9611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BE4A6E-00F5-4104-B3EB-71007B05222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6BC19E-18F9-4CFE-BF78-00A92FDE514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4CB234-2428-4373-B6B0-D56DDA97F33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150FA5-AB6C-42D0-84BE-AD347BB7769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573B9D-5891-4398-8D82-3186A3E868E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DAB891-1980-40E5-A14F-F7298A45022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59BE7F-F93D-4999-A758-BA312D24919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2FA6D7-4584-4CC1-AD2C-A343C8068BC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800E75-8344-48BB-9619-A5694207E6F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7B294F-0EE9-42FB-BEFB-BD143F72F21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60DD73-343D-43E5-B3E1-849FD2EEC4F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96FD3E-0DB6-4EA9-98DF-9AF91CB0D7A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12381A-59FB-4B29-9266-4F986A398C4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0CCBB3-2248-4CBF-91B6-87F8DB06133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8C4525-5852-4DAA-B6B4-427B68294E2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FC1E81-D890-498C-A049-7A27DF62E68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DBC573-CDC6-4562-9E58-8619423D07E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5D4102-2F5F-4E32-88B4-6454F17A54C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D2E496-A896-4D72-ABF0-026B5C8BBB8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976FF1-022D-4CBF-B2DC-ABA5179C84D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B6FE5C-6D5F-41B6-974E-E71BE886D24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B63CBE-0DD5-4E8D-86AF-CF952419975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F49862-4B35-416E-B9F7-75782F6AA4C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D26716-ABB2-407B-8EB6-DF264C3F0E7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378203-9E85-48EA-AFE6-80F8A53545A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044A66-CA0B-47EA-A839-5B33A6A1CBA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D3A528-FE7E-4614-8935-CDEBBBA9CAC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F31695-403A-44A8-ABA7-77DC8112704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821D20-3672-41C1-B3E9-F3ECA7405B2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F06B56-C109-4C7A-BCB9-0743B330C66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66A8E6-F508-4D17-91B9-4A01624C041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FCACD1-58E8-4A99-B5D0-0107B78361A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95B7BA-A8DB-485E-8927-5C6ACFC2899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CBEF02-3779-4175-84BA-264BD39A968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B4005B-1044-4228-826E-7715DC62CEC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FA43FA-A032-4E86-9A05-FBB62CDFE8A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B1C69E-23A4-4D40-AC09-02189C027AF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65E47D-927C-49F3-9098-C3FB9AC8AC2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0062D5-D3C4-4DFA-A6C6-CE73C07A57F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A75BD8-357A-46B8-B0A6-20A9140DEF2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3ED0DF-487A-439E-B025-AA68539CFA8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AB4F24-7F98-44B0-ACD2-C9EDFA31F11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68F9FC-DB5B-48E3-B9A6-712E4767FF1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4FE39D-C09E-4F7A-AABD-80060E40361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6D41DF-E1A0-4278-BFEA-5884FA70DCF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EA035B-74BE-4AD6-A5D9-C7BD7AE862C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2AAE47-A73B-42DD-B48B-130DDBD7899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3E7813-1B77-4E23-8A2F-41BF167D321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7C5616-A5AD-443E-BB53-F856E6C5624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C2609E-2A1B-4930-9024-23246AA50BD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AD13DF-0B1E-49E5-AF3C-FAC6AFDEFA1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2E3744-DF4F-4186-BB0A-263250FF01A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6BFB91-D5B7-4E00-8736-20164556B2E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F5B3CB-D59C-4E41-9068-5B691C4BE77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98640C-3462-4465-B813-C7A0A9D2EB6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AEE498-26AB-430E-9958-8AB412B3502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09F381-73F3-4812-9D90-F441152CB40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A82DE6-1A51-4818-BF9E-8EA79E79D56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29BEE1-9101-48CE-9067-7F78DDB6D14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A7E81A-9D5D-4A73-AC4A-D03EC0B8C3A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73706D-43C2-4E22-925E-489E1F7C93D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194955-BF5F-4331-B014-5A193215984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AC9986-8ADF-44E0-A8BF-EA7170C35B6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720E1C-FC34-4552-ACB7-4E34AD5BA04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2AE46B-AAF6-4681-8470-07B5EF53D25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4CD5CD-319C-416A-AD93-F50FFA087B7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1B9A99-E11A-420E-A318-55CE506737F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1E28D5-317C-4DC1-B665-76F34AFD003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94B422-B30C-4573-80D2-329D9DC04E6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85E325-9745-4225-A22A-2200AC3591B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E8C7F1-9C3E-4DB2-9430-94A21082441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A5C4F5-69FB-4EB8-BBEF-02A1A2DE062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DEA36B-516C-466A-8554-FD1DABA9BB5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920087-52EF-486E-BBA5-1B88D69D90E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00A841-9004-4D65-BF15-BBA2D1A9038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9DFC75-00B0-4B70-AC51-FB8B9A53EC8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C86DCC-D0B2-4260-88D5-76AB8C34C1E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43FE52-4E1E-462F-9CC3-C12C2313888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69C9C8-4EC0-4C0E-9051-B69B255D3DD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FFB352-657E-415F-8E6B-26800ACEE48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DFCCEC-0CA5-456F-B75E-41789C1E63C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587123-4937-49E8-AF26-7604A283D42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06C9C9-12D7-4986-B6D7-F79BC3B3ECB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7F8B49-3B9F-4B47-A032-E8D677E4673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53D7B4-DBE7-4169-A38E-516FB279446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F5DD58-9FA8-40A0-8B9D-8BA1A87E938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746C2E-7C7D-4192-988B-E86C9F6ACD1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2E6189-389F-47F8-AF5A-4FB3853B858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F3739B-85B8-45F3-8A97-0355FD11376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61FEF0-7731-4629-8DCC-0CA63F409AD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D6D4B2-23A8-4DCE-A80C-64C0B36FF82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019B2E-4F4E-48F6-8CDB-5B7CA356C9B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2760F7-AF16-49DE-82CB-E321863237A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7AD9B1-BC90-410D-AE8E-CA3C7D8E39D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9F7107-9BF8-4210-B92B-6F0AFB441F7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07195A-B730-4E44-A4A6-189EA5048F7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911C5D-7DF1-411C-86B3-435A2D6DBDE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C1BB81-F6F3-478A-8DB8-E23378889E8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F590CE-AA58-46C9-949A-5C1D5FF541A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65A6AC-438F-4427-980C-9E786A04633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A46E4C-ABD8-411A-B90B-14AF25A7340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E5074B-B6A1-40ED-BF25-87AF10D4109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8229BB-1D8B-453C-B97E-986D119D26F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C2317F-0B48-4C7C-9153-8E39C97B561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C47251-937C-4303-84B5-0670F2EE113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BC9386-FC78-4B84-B651-83BF959AD1C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12CBEB-50DC-4B4E-B37D-141E4193AA4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C3D407-8F38-4FD5-BE21-C20000E54D1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1D2FED-E950-43EF-BC65-445258AFAE4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D4B1D7-6BCE-4C30-B86E-F483D876020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C86BCC-225B-43B3-8AAF-4193311DA72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12589A-BB9A-4C6D-9E11-0CB98A45DD9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9B5A5C-70E5-4089-BD33-77758BF10D9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D7F14D-6E15-45EF-BBEF-BBA2EC88282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2A4D33-D058-4920-8A4A-FFC70D8DF78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6ED5D0-E7E6-4B50-9183-45FDA2978DD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2CD212-EFBE-49DC-8CD1-5A327390A22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C85E00-FB0A-428D-9DF8-65C114BD762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181F00-B043-499E-AA33-131B33FB7E0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45E7CA-57CF-4356-98F3-F2B0FCC84AE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2E6F29-3209-49BF-97B3-4FC4433A9B7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2DD828-B6B2-45A5-8C0E-119666F9825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02D7B9-21C8-43CB-AC71-6FC48E078AF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DD8A5A-6551-445F-B5B4-1445F4BC586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965683-1826-4229-88B7-1D3F198A645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EB95CE-91FE-49D8-A15B-BE83107800D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2FC7B8-76E9-480A-89B8-15B1DB55153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1D37C9-0D02-45B3-8B24-C4CDB6A38FB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0AD59D-79A2-466A-997A-2FF5F2FEE5D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2F7BAD-50AA-44B4-BE0C-A42ABE5C677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90EB37-EE6F-4463-BF65-B504F2B347C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CC7979-7470-4782-969E-F390FE852CB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2E5589-0AF4-4FC6-8839-286A172B9C4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9748E7-EEB9-4E71-B9DA-2A700D40666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0E1F9A-48E5-4A2B-91BF-E1478E8CCFD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F45CC4-9142-43DA-B470-C266AC7CA89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0A7987-943E-48F4-8BBF-208CA5AA4E5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839D05-6724-43B0-BFBA-8F0A95996D9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1547A2-C7BC-4002-A854-CA68473B17C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F3589B-B087-441F-B4E5-B57563E152F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8537AD-B854-45D9-ADAD-20D5BA130B6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24BFCA-5383-4C81-8DFA-54F7AD1B7E5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8E0225-21E2-4126-8500-5338A7604AF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D38859-DDFF-4581-9F94-3A02058FD64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60196A-7E91-48B3-8ED5-AEB1D9B7879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19B49A-B649-481C-BD6D-29E81C0E18D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57E058-79B5-42CE-A497-DD9EF549F07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70A861-52A5-4551-AED5-673E26142E5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DC0479-5125-47D7-AFA3-1C1EA3DC603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AD3DDA-F991-4954-A52D-789FB36E4D2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4EDBF5-9223-4819-A213-30BC74E91C9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FA6C33-838F-41E3-AF8E-6CC571F5DA4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785346-98E1-453D-B93E-775396FC0A3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730E01-396A-4491-89BE-72EBF245998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5FA3FF-5A7B-44AF-BD81-40D4B252854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B89F65-D680-4D09-AFEF-08513A81E81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61C7BC-084B-4ED6-BA1E-5E8F343BDED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E16963-A1C3-474F-9BB3-0BE1AE8520C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E35221-5E7A-4852-A7D9-EBB0B0C8A96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DA12AF-0704-4EDA-9173-E2066878E16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55DD19-C193-4C4B-AB7F-6F921CEDFA5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A86BC2-1BBD-41D0-B95C-1FB3E97F2B4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972747-B787-457E-B503-B29BD6D534D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94A840-DFAA-4AE8-AEED-253EFB0D413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E8CE30-75B5-4453-A658-154F708258D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41A8C1-3DBB-4A2E-A1B3-D4A8A730C19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58DDC0-02E8-4C5C-8590-64B6A7AC21F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508705-023A-403D-B9D9-B7ACFC84329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9D9D49-8837-4AD5-B9B6-331F81769ED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8A7322-C6E1-4206-B857-CB92092F81A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AADD98-9B3A-43CE-AC48-37A5CDBA64E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BCC141-45E7-4C74-A6ED-4CCBC2B69FB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FA7335-078D-4699-B934-9883AC7D1AF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B757BE-62D0-40A4-87CB-5733E645D4B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64A878-5668-4BE1-A931-8A3A3FA06E8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E57A32-9D91-444A-8B62-9433F3D7504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E95EF1-A293-45CD-9D63-64DA70C21F4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B63E59-DEA7-4C05-95A6-C90C6A7D0EB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4DA583-7D82-4EF1-B145-345697333B4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08E020-567C-40DB-9058-6FC58463925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1D22AE-7E2F-4ABF-AF7A-20337B07012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80A4C0-133D-4959-AFBC-191D79B06D7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6B37F9-7A13-496C-A72B-0E12D64B47D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5401FC-E24E-471F-B70F-64CD1BC55D2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D8AB6B-6791-4962-9F19-A0E7F8FC6E9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CCC452-B3DD-46E7-A811-5D73F97AF46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1D06F5-2C93-4532-9728-CB7669E82AC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61D259-5EB0-4919-A714-A444BA2C35F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0EC8FC-A87F-475B-B865-B07657277B6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9BD8D1-F389-4A4D-9060-1FF0D2D7EFC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B576DE-53D8-46D5-9B60-32EF1F2B010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18C86F-7B6D-48A5-99DD-C052D54D01D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4C0770-158A-4F52-B562-F9A316083CB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C30BFA-E714-4357-BAB5-A42DA01A896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36E4C2-F883-49D3-BA31-E8F70CA7240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E0C660-A070-474D-9B61-3BECF155E8D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D0F551-C80B-415B-A43F-0B2F55B174C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32F014-B055-4C61-BD24-7948BDB5E6B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50A9D8-4BDA-437A-8222-F10900B35AD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2C385D-86A0-4561-863F-416F8D4AEF5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C7ABA4-82AE-4F61-B867-585BB48D876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7D153D-3339-4D4C-9A0D-CFE6F0D16FF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180084-4611-4659-A9CB-AE6C42432EA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0CD82A-AB68-4EF9-916A-8186ECA1740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660573-D169-4FAC-9D10-A8C67846B39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1AF32D-66CC-40BC-B835-9C76DDD5EE1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DEC9D9-90D2-46AC-885E-B339D92DAF9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0A8397-319E-418B-8302-85B9D5435B6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D8D7F7-A491-46EE-9878-8B4E32A619A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8692D2-5E7E-45C4-8AF1-949651A694A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079A7C-89D8-488D-BB97-89C7444D7CD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747F59-32FA-47F7-9687-94744708821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C0DFDC-3FEA-40FB-9AC5-11990386BB6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8FB395-5514-4079-83E8-D53946972DC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A78486-C840-4B13-8C0E-B8BA35F5BDB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858EAD-D7CD-449F-80FE-BF62933257A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700989-8B7F-4701-8C21-6746C59E912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D151B2-435E-4749-A592-6494AB16B04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360731-CDF9-4D6F-A2C8-66F0573F442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1153BB-202D-49E8-9EC9-20F8BD91F72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2A3540-315D-4400-97EB-877FDBAEAA5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774124-CD92-48D7-9BC9-B609A343242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7E1D5B-A710-4BB1-BA67-3BE93D1A360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45F516-B83D-45D9-B4FA-B29C4254933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D55ED9-59E0-475C-9833-6ABF048EAE9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552C1E-B588-44BF-A339-96C9B98C164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01371D-2DE8-40E2-A6F2-2581C0B1AB9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076091-00F4-44A5-9BD4-EE02F1E1495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79F126-6B6A-40AF-B1FA-2EFFC1DAE5B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0F102F-C243-410F-BCDF-714D42729BF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850E3D-5EE2-4843-BE93-0B9EB3385A7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37CB3C-D44F-44E2-815C-DFD7C535EC1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21892F-D079-4A88-BEB5-B4F33F8875D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2EE1DD-5D8E-4ABF-8346-BAF2D1D38A4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4CE111-C586-4EAC-A20F-A2FEF683E11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B7CAC8-C3E2-4549-B8A3-91225B2963D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48D718-6934-49A7-B3E3-D933D07DB0C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C1C43B-4C75-47F8-91A9-6B91E0EBDF4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3C7FF0-76E6-48AA-8A34-31581F3DE21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1D2B9B-80B6-4EB7-9E54-3C94EA98E91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FFEEB8-E691-4914-8BEE-1AACED249D1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2A320D-E28D-48DE-AC0A-E41BBE3A339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726B84-15DC-4E7F-AC5F-5E520472DCF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8D178B-E587-424A-99AB-AF2D5DA711B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680305-6FF8-432F-B03A-CE51B10755B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B552E0-0215-4354-B80D-48C18958396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312237-4F16-4853-ACF2-5EA1630D25A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4F993D-4225-4461-A648-87C3E7C051A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721DB2-BA3F-428D-92EF-D53DD1A0B9D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528DD8-B80C-4DC7-AF06-1E063E81B1A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907DB3-E489-4D5D-8815-1559E17EB1F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7F1366-A03B-4D65-A193-98257DCD87D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2DE8FB-0A32-47FD-81DB-045941CA510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CEC3E7-71F3-4178-90EC-DFF797C0C8D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4C73D9-050D-4C6A-ADE9-77CAB538D8C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CE9DF8-487E-4990-BF0C-3D75865E949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C57434-7796-462A-B10F-5B2211A4FDF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AA2BD1-3D18-4B50-BC2A-EEDA41DD894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EF6D3F-7104-4C8A-9F2B-0E8A48016D7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83BC82-32F4-455D-912E-F6B2494F44A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4CAC3A-F256-4501-A506-CA4B4A7E48A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E0AD21-AB11-429D-ABDB-1C232F11985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559AB3-0588-446F-8052-FAD20585D66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4740B0-E37F-4B64-B67C-DC1DBA2F9F5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D4168B-E6B1-43A1-968F-74024D99C48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00296B-CA03-42CD-B36B-78B859BAF86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F1BE0B-0686-43FE-BE07-07B6DA008D5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67BA00-AB91-4F02-9844-B00CBE8D31E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2D776D-4F56-4B53-ADA1-4579A257918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3ED1A8-3DDD-4427-BC07-D36946BDAF2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AE1ED6-8362-498E-8CC6-BACF4ECA330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8A5979-7924-4588-9A9F-956B1FC5B3A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55E40D-C816-4E11-8566-00C6F6674CE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AD38BF-14F1-45E2-B3B4-8CDB20BE5A0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EB90B5-0F5F-49CD-B8DE-19E5F82FA7D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ACBB65-E7C9-49EC-BC2E-8CE17A8727B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CDD50A-86E7-4010-ACC2-23ED9C7EA41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8CEC02-97E2-4B9C-B8CB-EE09DE244BD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0099C3-C5ED-49DC-BAAD-765B4E054E6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964925-5C16-4B45-97E0-7C79705AF9D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5C81EE-1773-40E8-9C9F-2F33B855623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04256C-6285-47D6-A962-D84A0C29C18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DF927D-689C-474B-99C1-A0272AFE2EA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C7E0FB-F88F-4FC4-83BF-EDBF6A25E57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A333B5-77F5-4594-B907-ECB983BF006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550A8D-E88D-4EE8-B775-9F07DF47B37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5A8FC5-573D-4A78-A669-71D5A406E0E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6F12DD-0231-464E-AC1A-762514EFCC0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F126EF-8ACA-48BA-ADD4-B8FBD504CAD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13A499-D6C8-48A8-932E-B9A0BB4362C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BB386D-FA31-462D-9482-27726BE8F67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9FADBD-0D6A-43A6-8D67-378B9B86DF0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40DCE9-40E5-4733-8ECD-B09133688DB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372EE5-F17C-44AC-9470-93C3A3504BF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17D4F5-6FC6-49CB-A596-8166AB556D7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8B21F4-7DFE-4A3B-A74A-CDCEB806194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49EB05-691C-43C8-A842-2D6CD6F8F51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8236F0-2DD1-4005-B02D-EDCCA28676C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D42EB7-3291-47BE-81A9-97A261D3549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9DB1A2-1A60-486B-AFFF-183AB8960B8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4875C7-945E-481B-BB80-5B239E29E75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AABC89-CDFA-45A9-AA6D-543BC8C73C4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8296B2-31F8-422E-B6EE-99BB241C90C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2C7FA4-2C11-4230-BE63-21B4B74CE58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0438B4-46E0-4A33-8A83-FADDFA7BCEC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954FD1-CB56-4F16-B451-081820B96B7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0010FE-166C-4D9B-B9E5-D43B0EEC41F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D368EA-A61C-4EA5-B39D-4CE9EF05ABF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430113-674B-4DE8-BA2A-1D0D15AB496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796C54-1A5F-423D-BE06-9ED0A714A4E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8B51A1-8AE0-47CA-B384-083AAF4F084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E9F529-2151-4F73-94E9-B2043977CFF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45B4D6-BF32-4BF2-AA70-EDB3F070AE5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5798F8-A8D9-47CA-8758-60D4B05BAE2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451045-AC84-4DD2-B14E-D2527D2606A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3B5B3C-1BC8-41A5-B169-2AE13AEEA59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830CCA-D542-425E-8B0D-4CBCC1F1864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56BE97-4A54-4D0E-9528-ABF84D554B4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494B17-A7BE-49C4-A152-AEA906BE6FE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9D8712-D3B1-4AE4-BA8D-11BEDC2ECA2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7CDB7E-4003-4BA8-A380-99FC863E6BC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595D70-B62E-4B53-928C-AA13AECBFB9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FE665E-AA20-4DF8-9303-A9B5617A60E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BA3059-A6DF-4007-AE4E-8ED5C8204A1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1952B7-BF4E-427B-B993-C413761F2B5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B69D7E-3973-46AE-84AE-76F3887A9FA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C04916-5C15-4EF8-8312-E5836182C93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5FC794-816B-4D8C-BFF5-6CF68C37138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AA104D-90FB-414E-8C4A-4CD0C90228C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0E15DC-8104-4E72-A55D-54F7F643232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7C51A3-24E2-48D3-B6F8-502EC9CE6EE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984154-2438-4B9C-A342-E463004A823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39ACF6-6A73-4197-BB4E-B40EF139930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D394E4-CC04-4026-927B-617727D9109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692FAA-2087-46AD-8AD2-BB0EEEB356A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ED037F-FBB8-404D-9DAB-4DF332D70FD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1F1306-4407-459E-AFC8-80E9484EC66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4B32A7-A41D-4468-81A8-D0078B197C3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A0301C-B285-4318-8447-DF67FEA546F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61D365-2854-4AD9-A087-E6C072A63DC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5DFA04-9164-4659-905A-278C1197E74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36622E-B516-44D4-981A-ADF7CC6E7E3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A4E0D2-A7BE-4B84-AD19-37E23FDD873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ADECB7-A8C9-40B1-93DC-2F372F5310C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4F164A-7BB9-4464-9C0C-1CFC841EAEB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4945ED-ED61-4DBF-B304-02160F96DAA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B06394-2929-4C60-8DB4-9199F04E918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766592-8D6B-44E1-B91F-4A1D55ABD33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6D6DD3-6E8A-428B-A07D-270C7F30F9A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DADCA5-68B4-4507-947D-343A9995900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34CFC7-29BE-4B5F-A7B1-F5826364091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14CCB9-AAAA-4D50-8D4D-14A82BE4D00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FB0D04-37B3-4579-AD1F-9556F76D4C3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FC92DB-ED45-4528-A708-D706C2DA8E6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48F3F6-3C37-491F-A893-552A2BCDFB5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85C057-B539-4476-862C-31634FBF53E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F5BBAB-4783-43E9-B5CC-5E92DAA4C84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787855-11D2-4388-8A72-575986CE118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5C8483-BAC8-41A9-BDFF-9485F785053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2CB80A-0213-4FB8-A0F5-EC318F0F18F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B76B05-F3F8-44D2-BC52-47875346AA4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E48C67-BBBF-43F0-9967-F04C49082B5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95B1C3-31C7-46D1-9DAD-88FB6AF6279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3F84D2-61DC-4212-AA06-6AA24AD342A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C29E42-1558-439B-B2A5-583347268D7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1CBB82-A159-4ED5-A9BF-0216E5D1606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C78E03-F0BC-4F7C-B0BA-1175024C2F3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991B3E-E077-439A-A476-ED3B8FC4B7B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994774-D5DD-48A5-9B98-A8B3B671C92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8C71CB-C2F4-46CE-B63E-5A80F4F2BFE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803E4D-40FA-4B1F-BA7C-894B2197B67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3CBEB5-34B7-472F-A70D-863326A417D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35ECC5-7D1C-42B4-9D61-460F1160A61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5C2744-18AB-46FC-AE3E-7B4E1EE1D48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D60864-3260-488C-8DC8-F451CD0A450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1DB7E2-EE30-4CFB-8B2B-C92E7F7C83D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9D973C-9568-4CB3-8E86-7EFA483B48D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0CBD90-AA85-4E9C-864F-B013F7D313A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436F64-C463-429F-89D1-550DA6869C9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FD8544-7D91-469F-A8E5-F01FC63C9E2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0ADD78-E9C9-4EC7-B247-C7ED6ACB254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D1BC4F-7E88-4953-B2F1-C7756F7D828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17894A-D068-45DF-81EE-736ABE07E75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DF7C8A-12B2-4F2F-A9ED-C7F94971A01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B1E046-B475-4725-BC30-4C0B2FBCCD3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35F0A5-9299-48B6-90EB-3F8B1FA2027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68D8C4-EFC3-4D73-A567-C2AD677DEDD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DBDD78-05BC-4E5D-B740-14829D2BA20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9ABB91-2394-4BE3-826B-C95DE2F141D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A32E87-CB86-4745-B4EA-468D14A9D19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083C07-7E7B-4575-B8EE-B8A6BE40473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5E6CFF-F87A-450D-915E-DF02D9D788E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F4C331-FF9E-40EC-908A-35E0BFF80A0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A11E31-9B54-445A-BCA3-B8EE3BE0F40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1B53B5-17BD-49B7-BA02-F5B2F0690EC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1A3566-C2CC-47CD-93A9-80C8D213998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04534F-E1F4-46BC-A13D-6C7053FC063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EC75E7-21CF-49B7-B1A1-22CB646A728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1BC7DD-C754-4F72-AEB9-3B81E23829D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99C3EF-F4BC-40C7-AA83-F4F68EAEA91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6C37C0-D048-4654-9B85-B066FA5E6C7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EC4866-9CCC-47E7-AF89-FFFE11971D5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1DD22B-312C-426B-AEA7-78169B68FEE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E60D11-E371-4D79-A537-B7732424C89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6B5ACF-2DBF-4E89-ADF4-F5C1CB4160A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7E32F9-20D9-4295-A8D6-0989E471A36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820022-B5BF-4AF7-8B02-D61CF4FB8F5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1E31FE-0060-4113-8BED-BF8A7E04C2C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42028C-5C46-4670-B55E-25D9BFDBB54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3F9870-E2D5-4625-8331-CD7B365F0CB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8FBFAA-34C5-44EA-AF8B-9E4F7D58B83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6AC117-BC1B-4259-AFD8-420327913F7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4830DA-3CCB-40F2-9E76-F1FCE216206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88F916-0921-483E-88CD-5C515E290D4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0A94D8-87BF-4D1C-96C1-F7508399435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5DF7FB-09FA-41BC-8F7A-2A1E672868F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8BA5F9-9F45-4461-99C6-80D34A02797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E9F302-8211-4093-BC25-188865721A2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0B9BF4-4E65-4242-957F-492643BF6AC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742C9A-A948-4F4D-AD7E-61103A1B654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B36851-C2FA-4429-A8E9-72F3219D493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0C0CB8-5921-4BDE-9DBF-37CFABE2D34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C7D366-2CCB-47EB-A420-AD01AEB92C2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57E3C3-7F55-4BA9-ADAE-3EF16A6F5BF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B53264-E595-4F90-BDA9-711AD60092F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42ADE3-CBAE-4DF6-A6BD-31C3DBC9DB8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86C7DE-7C5A-41CB-8F6B-6AF86254C3C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9D3C48-832A-430D-A740-614FE988CFB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E95CAE-5BEA-4B53-BE9C-E8EE5DE9A9E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C83565-76CF-4099-88A3-B86A3D7C254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B82C5A-1A21-4020-9407-A6C1CC0F675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4FED48-FB0C-4029-BAF3-CBB58E49760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39100E-CA1D-4D55-969C-FAAC7B78AEF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2F40F3-8706-4920-A102-1681A9420A3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F12B0C-7110-479A-B16F-8D9F89D7C0F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52A13B-4CFD-4F64-8B53-10754CBBC88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828B34-5084-45C4-8C99-DF8A2281E9E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5F0C16-C994-4068-8496-273A4381DBB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A66919-B831-4F4D-839E-B670D991D69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944539-A374-4A0E-BD00-5D553572326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C3E786-FCC4-4465-8CA5-C4B5097A43F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775F54-C8FE-4E92-90FE-9E048AFA374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54F52D-F97F-4B6B-9AEF-86BA2C70C19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C26641-272D-4F37-A2E1-FF0E57683FB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BF4883-00CE-42B9-BBF7-6C93FB3E8AA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71989E-207E-479B-8A76-24D345C1532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26ADCC-7843-4124-98B2-3242928F6EB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B042DC-BB7C-4160-9742-162EC92BCDB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C1AF3B-E2C9-4B22-A97A-D1158EDD478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43EA3B-A95F-4AD3-BEAD-83771C085BF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039470-E10F-4F37-BBFB-E3F55A9A81B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28AB0E-A25C-4C1D-BFD1-7D79111D319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D0E91E-3E76-4704-B063-F5B5D1EFF1A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D0639E-1614-40A8-9B2A-755769468B5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74EDC6-F619-4E38-986E-1F99DCBBF39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12001F-01EA-47F9-A03D-9C0E398AED5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99018A-E91B-40EC-A074-C37014DFB80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21909D-B390-4991-AEF6-DE80301DE02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587C8D-79E7-4744-B848-C3A9ACC315A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16B1A9-BAE0-4FE3-BC78-20070C5BED9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723DBC-1857-4D2D-8DDF-62E487B274A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CDC875-19AA-4D59-8F8B-A6AADBBD7D9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F90D03-099E-492B-9409-26488BEC7BB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5A89BE-CF60-4CB5-831C-A5DA0F67D5C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F95F73-15AE-47B3-AF8E-94EC1DEAB38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7BE0D5-D6A3-41E8-A5F8-6EE87840F8B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23EAA2-04F9-4128-9330-1CB6860E9F4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8A7236-8378-4024-AB9B-B5E9F94AF45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670876-1BA2-420C-BCB8-BEA24E0FFA6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1E524C-1BDF-4D2F-B74C-11A36926CB0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1FF300-DB20-4571-9939-402FE5AA1ED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266C83-8335-4CFA-AE06-3A1FD00B0A8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624F1C-8B40-4885-9691-ED598E3811A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025410-C62C-46B1-9ADA-DBA636B6599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C71E91-42CD-4117-B208-2B11D05B232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31EF20-4718-41FE-B239-A727E096CF7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A83000-5C56-493C-9B6C-70FEF381BFB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308432-2AFF-41E4-9C97-CCE9EF80C8D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B83CAD-0515-49AE-8B2C-11F1766565D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69D29F-147C-40F1-BB05-638E9712737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5D2A84-9380-4A3E-96B7-F0E15D34370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BA5FEA-5E00-45FA-A785-D0E55508825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92A5C9-A33D-4D19-9B5B-882C2DCE651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91C3F4-CDF2-453B-B975-DBEB7C93790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F23396-20C4-4353-9EBF-171FBF017FA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A77692-4352-4D2D-A4E7-5709FCAC918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5DDA1C-DFFF-4C6F-A32A-C7D8D4CDBB8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7CB2B9-EFA6-431D-BC7D-80B3F54D326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EEB130-CF0B-4E30-AE7D-1C2CB85667A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104044-2361-4E0F-B9B0-9CA57133C44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DFEDB7-8D61-416E-BE16-0A601FA70EC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AD4807-46BD-4478-946A-D615A8FDD53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62818C-8AEC-425E-BCBB-8BE49E42711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64AFB3-24C3-4825-A9F2-537860F85FC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E8734B-0068-447E-A963-F51EF029841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578925-691A-4401-86BF-AD615216944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1A94C3-3B64-486C-B01A-7B6DB2FEBB8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992167-8E05-4A54-8F54-5CC72FA7FEA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02CAFC-36C4-416B-8CB8-BFA55C20779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0E05BE-7BF3-4AC9-BD0A-03E328B2920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B01968-4060-486F-A397-F4BF976B0C9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0DCE2A-1F23-401D-871E-BC7EE6384A6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DFBB1D-E60E-4909-AECE-7BA6CAA171E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3AF7B5-7E35-4AE9-B8BA-47D9832474A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1027DC-7D33-41CA-9646-A8F6B1EF369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F4E417-6503-46A0-B513-AFEF606854F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9FF851-A0D4-48CA-A6C0-8C92AB72AE4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31B07E-401B-4721-8801-1711F50CC4F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D7F700-471A-41CA-9D5A-2282B11A9EF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2977EE-0B90-4640-A2BB-716D2B44AFA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C8772F-98E5-4E8B-985B-D8355D987D8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EA2417-478C-4987-B759-74EDA3C0DC9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F2CBFB-B101-4CC2-96BB-1AF08A42E19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4C5731-5F80-4F46-B979-81C211EF07B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D9A6FF-8622-4F8F-B0C8-B28EE7BA816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9D62D0-E54A-43E0-A74D-BA97061D66F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890BC1-14E6-4B48-8C07-C0D06C9C34D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634264-FACD-47C1-894F-1A22CCBB3DC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5F149E-DEBF-4155-AA1F-FBB8299668F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3E980A-4EBB-4533-866E-3031264F1D6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F175EC-08A0-44E7-97FD-74605314906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DB0768-2638-46A8-AB37-258DE801E97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B23769-2533-4024-821E-4FC02B272BF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90BDE6-23F9-436A-930B-69A2A799707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A61408-BF6E-478A-9D8C-3FDF3F18326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316EAE-8828-437C-8072-BF8047F4495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F7BD23-6B87-44C8-A81A-4DAFFF479EC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91D945-1F76-43B9-8FC8-A02F7F7F733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DB55B1-7D81-44FB-905F-F593BC1F5FC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EE3542-9044-4A87-85DA-C3785670CDE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C146AF-2BE2-41AE-8955-1CF118E3E89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88E0F8-87D8-4455-B54E-F215D1CC21F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48CA3F-18E4-4D80-A6DD-EB0D742E1E1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39D81D-CD06-48CC-BAE7-289F6E40C87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AFC7FD-7F0B-469A-823B-A1BD478922E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BCDBC1-E2C4-42AC-AB0F-72355CAF93F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EE39B1-610D-4553-894B-ED62FFDF447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6FDB95-F250-448A-ADEB-D68E80A3B23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B7D114-AD04-4F08-9F04-22C5E1BB8BD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F71E20-BA4D-45BE-A366-65EE03D71F6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8CFABA-5888-4813-9D4E-48EA9A0847D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77B599-8A21-42FE-8E3B-CC20EE55862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7C8E4D-A4D4-4555-AAC4-E0BCD2612CC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3D5C50-3DC2-4B72-8652-9A68416BC5C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A5ECBA-5C12-466A-BF44-BDF20B4EDC0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619635-9A4B-4577-987D-2A3363F9952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537277-3A48-4891-83BE-3F9843C1B28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68F73C-FEEA-4B94-8227-316F7CA53B0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501B57-F4B7-4500-8A66-9CEC1E1462F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5A98B7-8764-4339-82B4-903E985D579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3A9E05-A3E2-4C6B-8CA6-AB70CE2FD8F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347D3A-845E-4BDC-B88A-172B53E0B13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3C618D-9DAD-415B-9279-83A7C00CD9A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C6C724-8B59-495F-948D-3055CE4A683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116E26-9AA2-4B17-82F0-830D1D04095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8B94AF-FCAD-419F-BB93-99C43F5D64A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D685EC-53F6-4D3F-B904-63D1C745BFA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D746E3-9AFF-499D-8F86-B36BAA8DFB8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6B78F0-62CA-427D-8085-28CB830B89A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D688FA-1456-4411-A506-028EF687D27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582D3F-4FB0-49A8-9A61-09F101C3C2F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9BD54F-94F9-4540-8670-7F278F3B5C4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88CF12-CBD0-44CD-83BA-90DE0857160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C5A570-62BF-411C-95D9-CFA8B739183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11EDE7-FA00-4A43-ACE8-59350C5BB1A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0DF44A-7596-4585-8B24-473AC3D0D09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055ACD-B530-4D89-B662-E35544BE0D1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BA4C40-68C8-4DD2-8885-62DF0586DC8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30A29A-F17D-4521-AA29-974B57C8AAB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229B72-E995-4320-9268-3B347967BD9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273819-DE48-446D-87E8-ACF43B84D56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0C29BA-B09E-4226-888E-FD282DA7E8B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FD2FFC-C540-4E15-9F1A-AF531555104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7CB258-5C3A-47D3-883D-ED100DE2AD2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130A84-7A21-441A-A42C-F1644220D59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3971D1-0660-42B5-AC3A-0F056F1D200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5F4715-2AA1-4EC8-93DA-2328532FBEB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B9F6B1-06DF-4A97-89E3-6C577B53406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C72C81-D171-44CF-9AEE-0C5F160330C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8B693E-C331-4EDB-A831-A7669B7592C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A071AA-9A34-4220-8A33-F80D7ECAAEA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81DBFC-1AA6-4BC7-9026-E4006CECA07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20AAF9-8D74-4875-B262-BA19979B90E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CCAEED-31EA-461C-9DE8-40C949E4856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211C7F-ED64-40EB-809D-7840D2EA349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D39FD4-86DA-4EA9-BAB7-672D94DC1B1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7DE518-41F4-48DC-9CC9-C1CB92A0F7E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16F5A5-6E93-4C9E-A85E-DFC49CD381B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00911A-9279-476A-920D-1A6452B2406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887C26-FBD2-48F6-8F2F-0032EFE5061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D3AFBB-EE0B-41CF-A508-1FDDDBBC8E0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626BA1-4230-4F31-88C8-5AFC8D9E7ED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CA0503-F8FD-4469-8AE5-675BA28F0DC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38213B-DA06-4F4C-9786-EF052AF0111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5A804E-7E04-4F9B-B8B3-647D2F99EC7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40054E-3CD3-467F-8C36-0F314BEFD29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8D6093-7EF8-42F1-8F34-2F875137548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3BDC85-5FCB-4C5A-B674-86968B18C94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A90807-50F1-4F86-B21A-6EAF53C22AB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22179F-1CA4-4FFD-B66E-2DBEFE1616D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317A9D-C60A-4415-8DBE-AC49CB7EA16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BD2054-2718-4DC0-88F7-217B19A36F6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F18C46-A0EC-4D1C-BBF6-0F92CE94FD0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82331A-D0BD-4448-9380-4ABCFFA6936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239D3F-7F0C-41F7-B38F-EA5B154DDFA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E58E14-570D-4FB5-8AD4-A5C31C6A6F2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316C76-DF2F-4E79-8AAE-F2C155067DC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2A5DE7-70AE-4C13-B6B5-CC925713CEE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87030E-A97D-4314-B509-83F3DE2A267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90AD57-0909-4951-8ADD-AC99C6554CF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D283FC-3FF7-4958-94E7-530A0C07D95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306679-F396-425B-B172-DCCA49AD4FC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9A9226-008C-44EC-B194-7035D0CECCD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4D82B3-32E5-4788-82A4-BBFB8F12FE0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555ED7-7EC7-423C-AE5A-454B10BA74C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E69536-0A59-44AB-90CB-104BF47DABE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B2658C-AA7C-4338-83B5-06EADC6885C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7807A4-0CA0-4754-A95E-26BBF917BF5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98CBBC-C5C5-48FB-91A0-D0DEC1BD58D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C0E072-7124-4231-96A4-EAE5143E2F4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60B569-B5AB-4332-AC28-4D98CEF5249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29973D-4160-4471-A810-321E766037D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073EC6-C61F-4699-89F9-4B1B770BAD8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F8C0A0-7C9B-43EA-8196-8B5CD384032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647A7A-ED70-4133-BC6F-4BFA8A0D1DE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E7648E-C1A5-4C3A-8237-11C37412129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015082-C8D8-48B7-BACF-378A690AA40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5B547D-0F4D-4363-B7A0-5A399BE4282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A4D107-7248-4E98-AF12-8DBDA1DB764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5DBA17-DA9F-4670-841E-835B0C76856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D38CEC-0655-44EC-B8F7-3A3CB7ADD94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F9FFD1-A7BF-4866-BAF2-4B658A738A3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23EB2F-C183-47C6-87A0-0533B95C66B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5B1F24-7FC0-4252-9FA2-79E37B09D7F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22063B-83D7-4140-84D3-99BC8DE3927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C9FF84-D3B8-49BE-9C9E-7D7C39FFB59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7FEBFF-26D3-4A79-82A0-1267E1F9442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1C04BB-94E9-40DF-A36B-FB0D980E877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14DC2B-7E43-45B7-83EE-4EDF96DDE92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6965DF-0707-410E-AB73-82E20989C80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0EBFF8-8FE9-4287-A52F-D00DD2D85A7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8B3354-C10A-4B05-9481-6D4A7F304B0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89F11A-AE8C-48F4-A4E0-5516208201F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A7BF7C-9532-4ACF-8C01-7B1C59A4B91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F6CDE0-F308-4C7B-AB5F-DF7ACB6DABD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BD4223-EA11-47AA-9D7A-153CB4E3F76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B8655C-5C7D-46CE-A5E2-122FF6CB502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31BC24-195C-45B3-B5BA-60337661E30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EB4C27-3F45-4D7A-A769-F4110A20257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51C689-0413-4D06-907C-77046D4C5BE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32C7B1-2B47-45EB-9D4C-3605FEC9DBC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F017A3-B39A-49E8-A4D7-9A9C3558828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6C6D10-84EC-4237-B7EB-DC9093FEB10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7148B3-9BB4-46D0-A434-A46F7F050C7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FD6620-DEA6-45A9-B359-7375A625058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D81F23-C800-49CE-9060-DECA795C91D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E839D1-E300-4CB9-A801-DF507330771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D5E0AC-9319-47D0-867B-52342EE443A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A2485A-E7CE-441C-A488-DCCF053B993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68598E-8B72-4241-8705-1C65AA6AC83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BE7AC1-B5C7-4604-819E-7F29C9AA5B3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93969A-7C89-4D80-A178-B6876EC4B66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7CE47E-8424-43F5-BE49-B421F211A64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CD4744-1F22-4490-BE24-6FF18783944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CD142D-E6AB-444A-AAE3-9DD9F685913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B387EF-9B67-4C15-B8C0-6E83D9395E9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BAF718-6775-47A4-ABBE-8ABA4186C66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8B3657-92CF-4C59-AE9E-1B324B8D616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D0E59F-5F6F-4819-973F-DD9DBCC9044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3C4B13-3D2A-4F71-9CA6-E26CF8DC49D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3B5A70-D1DA-4B04-921E-6BC726700B3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3AF01B-3C14-426C-8359-26550FDF5D3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CF19B1-D3E2-4746-9DD3-EA4E9BE00D8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1FEB8E-5260-4061-AA20-4B04877BB96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C2513D-501F-41FD-9457-C63E85F468D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600EB9-3F13-40B2-BA9C-A5E35F06120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894144-9DFC-47DF-85FF-06CAA11403A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648CB8-462A-452A-AE46-36DBAF2F092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7B35AD-433A-4CD8-8A5B-B1259E52C19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A6DE5E-6F27-44A0-9D0E-219EE71C264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7B2600-A3DC-4B4D-9331-23EA4F48D99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07BC02-44BC-49C8-9796-CB25280DCBD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2821B7-B068-415A-8612-254F4E66C1B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D23F17-A0B8-405B-A4A3-C3116BDCC61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415EFF-F13A-4119-9A4C-1761F9C93DC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B1714E-99A6-4059-BE86-0A6240AE518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7287F2-0FBD-4F79-9824-FD5D0B6A050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58238A-BD04-460A-8570-3485F8D6C2D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2283DE-EC2D-47B0-9C04-E3E6A16480A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5F8C9D-9F87-4B0F-A164-A262AF298BF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11675F-6621-4BC5-AB6D-55E283A7FAA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9E60DB-2DCD-472B-90B6-2599F265FDD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BE8D3C-4544-4159-BBD7-8B9FF588242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6A1F6A-7E53-448C-BDDC-93D474BB9A1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8A45D6-C5DA-4361-9BEC-F9AC3B17C56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FB9750-BB7C-402D-A81C-1A048A27A32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B0D509-89AE-4714-96CB-FA0DB536CA1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A3C09F-2E58-46DE-82BD-09895A3081C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5779C1-BC1D-40C0-B923-2378B511390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AC31AB-5833-4FED-A553-4D7B62D57E4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26F469-E7C1-4667-8FDC-230A659229F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E6D72F-A501-4B09-877F-EF657CBC891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86704E-1B52-4D38-8E6F-FB637402923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66743D-BFEF-4F1F-B602-7A18D2E73FA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66381D-EE10-4E61-A2CC-6917C78728C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5AAC7C-2907-45AB-BEC8-51A6CD43B57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D86DC3-A9C4-43D3-94AA-8CEC943C51B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FEE321-F539-43D5-BD60-FE62332FB7E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FE7CDD-DE9D-4996-A4B8-E64D248EE59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153EDC-8454-448C-87F6-67CF201A562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41CF3F-7277-4800-A655-7EA2F6141B64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A13C49-7AB8-4FC1-8475-428BBBB7218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25B726-3214-4849-AB1F-7304391EABB5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B3A180-A470-4363-9C31-D96755BD18FC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FC4A11-CD17-400F-8FAA-5D169AA09709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6651E2-C202-432E-B881-E0D5EA608C3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98B27F-C520-4ACF-968A-36E79805E95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982251-ADDC-4160-B1C5-6B150776050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74C7F1-6B4A-46E3-8044-10E157E8BF7A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0C9727-5370-49A0-B77F-D6D78A3E26A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E73AB8-1CAE-45D0-B33C-EFE4FFD1AA4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E51723-C89C-4D28-A706-887B91E7A030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93521F-B44B-4446-8C9B-B7DDD4EF7D9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9C1EF4-A12F-444B-ACD5-F414260F5E8C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0A8A40-DC44-40AF-8931-37A572AB24EE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0C61FF-73F8-4ECE-9CA3-893CBCBEC2C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DF3D03-DDDA-4C74-828F-4D901956CF6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6B8F81-E840-435D-A9EB-4C957B31AC2D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40C341-775C-47ED-BEB8-1E80E8BFC2F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13DEF4-9A0F-4673-AAC4-8E1B8EAE3599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4A6A04-AE55-4627-BC25-071D27BCFF12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FCA6BC-7D7F-4A12-A6A3-8A84BE80FF3D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F9BDD2-BC0A-4EF5-81E0-8503F1DB1F1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DD3376-50EE-4227-B248-016D39E68DE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3FC193-B58C-4FAB-802B-C2539B2D10D4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0E271E-BE54-47B4-860D-8ED132986E2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357DAF-947E-4BE7-98FC-ED9D70A6198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E481E4-B85E-486A-83D4-0D743EA50FA4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E01356-1A9A-4184-B569-1267C290429E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20BF78-6D99-4F7C-8192-8818FB34B73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9AF76E-B042-4C8E-B0DF-4953B34D672E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A0E7C1-F712-4E75-AC28-584EE5B5CABC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538332-E56A-408B-8504-A1935B63A1A2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08B67A-A608-45B9-909D-ACA5B46B457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67B925-FFB3-4D4E-9703-95C9A0DABDED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E5ACBE-0E61-45C1-A754-905381E93E6E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519611-AACF-4C43-A26D-F97D946FE5AC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AC7141-5F77-422A-A659-6922D249B0EE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7C6B3A-A4FA-4FBB-9DFE-17083A2D1D0A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9F0714-7B23-41E0-A2C4-C54877DF2A26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85EBCB-CB3B-4EE6-AB37-B69E3808660D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ECF749-5C19-45AB-A72E-451637C29DFA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83A479-8D6C-45C0-A47A-122D0B62DDEA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ADDA36-53E6-4ABF-BBC1-D08220EC8045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65E873-9247-4B6F-B18E-E5261E894A8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67C87D-2F09-4FCC-B9D7-F470C8E7A8C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D6D99C-08C7-4F0D-A307-82E377F9996A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8E13EA-C041-48DC-9008-0AFB9019F7EE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DE947B-3610-41A1-8FBA-18527A9E5A0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DE6F4D-F2B2-41B3-A920-468C22175D8C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9AB526-E7F1-4513-9B4B-F776AF714F3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31E054-33B6-4D03-9CF0-0AE917860FA6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3E3B91-11BF-4EA1-AC4E-F0DE2447973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2C7C5C-C3C9-464C-86DC-4F670B68C76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148FC2-055E-4DCF-8403-A015A87F6ED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F0B587-D303-4B5B-BC57-FD316CE0FC7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6AB8C0-B18C-445E-B186-2D18F85EA36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20F111-D461-4F35-AF8F-64FEF3113DB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F8A76D-D6A8-409F-ACF2-E976E3E0C82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16563C-8CFD-4D97-963D-C3E21F4683D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09AF05-71B6-46A1-9B42-C3351DE0273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DA40BD-7177-4884-915A-B88E8B43898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8209EB-3E41-4284-83E9-AF40798BDD7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04E0B9-ECE4-476C-B6E7-B890E6833FE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1591DF-C6C0-44C9-90AB-182205B14FD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4A2F87-5F7B-4C2F-9058-1D223904212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C25E10-E87F-42FF-A286-45850AF0C29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0C1FBB-D11B-4D29-9A46-A04FDE48EDF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8398E2-B764-4C0E-93AF-CBC1958103C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B992DD-2D99-485C-AE46-85D2DED856C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DF97EA-715A-4244-BBCD-65CD95CEE74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61BDB7-36AB-4AD9-913E-FCDEFF05670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5D0D3A-7500-45BB-9327-767CD29CCC6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76F8FD-621F-4A82-B36A-3492DA33B7E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C5C531-F31A-4483-B050-76B04A6EDC7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F2E0B3-0020-4B20-ADA4-3C5DD0AC255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2CCC3F-5B82-48C5-824C-CB5971AFAE4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539F1C-8C81-4598-A892-2D961F19513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778360-494A-4361-A97C-1101AD16366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3CFDE9-F5D8-48A2-AA02-F3C357F3C92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C257B6-9DE7-484F-9FEF-661E8EA3AE5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B461EC-6147-46A6-864A-545382E1984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526F91-C4D9-4C65-B9DB-E314CA668CB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106BED-60E4-4711-9689-D5D2A492565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44D0BF-AC1C-4BD8-B4B0-C5E8DBEF83E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5F19EF-68D3-4C2D-B646-25750F0E11E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3E830E-5E34-4624-B925-C4C623D3DC3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FCB392-CF55-4161-9FF3-8C95BDC4D9F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318DD0-1910-41F4-8CF6-A9B6440FDA1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B6E95B-7788-431D-B673-A906EF107C1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4DEA42-040B-4A9B-8EC5-DFD15457AF8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C682A6-9FEC-4703-873B-3BE45B2A0A6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A050A8-8996-4A74-8FC3-746EEA3A54A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3C11BF-67CB-4D16-9077-0DE27A254DC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511BAD-F68B-443C-B08F-7A9350C1CF6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D0437F-9F90-4A14-A8AF-5C52D18F151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6BCF59-7906-43FC-AF2B-43A4DE27B54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2CE51A-0568-459C-8A0E-773D485ED5C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3814E0-5D81-47B7-9DAB-46655F83EEB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4D0DE4-B5AB-439C-802A-070DE1792F4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F154F0-0554-4FC3-A3B4-03CC5F22FEC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3F04CC-1EBD-4863-A722-AD5CCA2EB82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5242A6-FC05-45DD-B595-065C8F7210F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9F2801-CC13-4882-9AF3-150B6FCB07C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5EA08C-6058-469F-9EAB-E555B4695B5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227882-A499-4F76-90CC-AEE9F80519E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8414F1-4F8F-4D4C-87E2-629727993DC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7FC59E-9042-467E-B400-1795EFA07C3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F9F852-1BD8-407D-AA69-870BD2DFB7E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275E69-AE2E-412C-8D99-594ACAC193E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8FE554-1640-4963-AC5C-189764C6E33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26819B-113D-4F25-AE30-882BDC3BD68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48F2E2-8B13-47D3-8418-F66CE4AA009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5624A8-A244-47C8-A5B2-91E34BBC69B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B4CA95-2456-43D4-A93A-BF3A0FC9FDD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60A33B-49C6-4384-B87B-3201906AAB4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D19646-133F-4F44-8C32-CBE73C3EA89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19C7D3-FD64-4389-B559-518637B6BF3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7E9BDC-6047-419C-BE5F-F42B3E99A63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2EC9C6-5E38-4B76-8B16-DD9AFB48D89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B1602E-01FC-4677-9312-B22FA00E4E8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DA492F-3F55-451A-8647-5E6DDA8EF5C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52CA5D-484A-4AED-8940-11CE3BA033D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A79692-BA5B-456F-BCA0-54DE1A0BBC9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595E73-9CBA-46BA-AF55-8379664F21A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00A239-0ECE-4DB4-BA34-CE2352ED81F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C463CB-D6DE-41C9-9D33-FB70909248B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0B54E8-86C0-4EDE-9C5F-F4445EC1D3C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DCE895-E113-42BD-B8E2-3A36F0ED832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58EF29-FA66-432E-A5D6-BB025CA24EA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374041-2E8B-4EF1-B6CB-7465B878C67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A8BF4B-621D-4030-8642-C048A25F32D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2B7817-1C41-4A79-A0EB-2D6B8FBB5A7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67FA9A-5A5D-4B6C-A7CD-8129A9A07CA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15A181-D248-4103-9591-658163621DA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E32C69-2310-4A48-9750-D68D7FA7FDA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FAEAF9-6C56-4B8A-9942-C9A14CBD9A6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139DC1-2061-4D63-94C2-21076410236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13F177-1905-4E24-96DD-70B18785843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16836B-B769-4ED1-9FCD-FC65FDE7547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9FBCEE-8006-4556-9542-6175D1E781D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028A26-FD89-4ED4-8F8A-9BE604E6484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CF0DEE-8431-4ADF-8FB9-28AB29412BB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99E3EE-92BE-4B44-80ED-40BE7E740C8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DF29BF-B9B7-47BB-9970-AE20BD4751B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2E250C-25B1-43F8-B0A1-C0CEDDFACF7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A62E67-705B-4BAB-A4BB-6D323C7D470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7A08D5-7D1A-4FF2-B627-8C182658834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6F23DF-DABA-4A43-83B7-0EBE4E0B8F5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812DA6-020A-4A92-99DB-98528CD882D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7D3871-180A-4946-B10C-7ED3436F41F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3E8529-FAE8-4DE9-844A-F47BAF1B7AE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50EB62-581D-430C-AD23-EC8CF1D47C0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61D27B-C986-4728-BA2D-D7106EDED8A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B98913-8069-415B-9633-B6E894113BC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EBCF94-C4B6-4FE9-ADA8-B3294B88094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C7769B-588F-4B6D-957C-73B446A89F8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E255CA-A0B7-45D8-87D6-D464142A07B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5748D2-5EEB-4692-B207-DC5565B9FBC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535BBB-7A44-45E2-8DA5-CD2A309DDCE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CAD384-98A6-486A-AAB2-754C952B438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E3F84A-3AFE-49A2-A42F-0686E3EC212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9143DB-E4D1-4A71-AFBA-3395626606B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FCE953-0659-4634-BF8F-CCEDD00D33E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114568-8B16-4094-B38E-B4253054570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7DB19C-BC63-477D-A09F-3E65336AD3F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D72ED2-0ACC-40C5-BAA0-ABCA539120A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900247-125E-467D-89C6-4639D0FA439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B0C563-D74D-463F-9A42-55F323CD222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5B772C-0BC9-496B-8C9A-E7A6EC2AF56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72C4F5-11EE-42D2-8BFC-E222887DC69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D45400-2FC2-4497-A41C-236C0C0F645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7B42A7-04E9-4202-94FF-1C02B9BFB73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E3EF2A-7EB7-4783-AC29-059A5F20A02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424228-EF2F-41E7-BB38-FBC7D9F9F96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737314-1BF5-482A-BC8D-AFC7B44C309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14BD38-414A-4A87-AE0F-406C496FD3F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ED509B-9738-4E8E-B977-B1CF99AE46F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FD5200-40F9-40DD-B772-CE214269E7D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F44869-8124-4847-BED8-C62301B3749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F73DAE-F63A-4A59-8DDA-8956F58767A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6809BC-2078-417D-B0A8-C855673E7C0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B7D874-4E19-4121-9A87-20DCA3B8892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CC2241-D3AE-4651-A90B-9185BD3E58E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BFA990-510C-4C78-A53B-A6145583EF4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776F00-9FAB-43A4-8E6C-8FFC657FADC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599ED0-2363-40D8-A0EC-5046D05D31B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A2E655-FF87-4E60-9718-192818E45D7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0B5ED7-FDD9-49FE-9AE7-8E80FE5F41F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B32CB5-73EB-4CF7-B61E-550AE249664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DA044E-4125-4FED-931C-4C3E9959008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0187EB-F74A-4A4D-A25E-0BBDDA6D5DE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C5A6AD-6F82-4008-9E21-9223644A20F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280934-1112-4A13-9AD0-EAF1D60916D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BD60E5-8959-40ED-AB19-18484E2D01D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BEA978-F826-41AE-8B05-2AF44E974EE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17D01B-B31B-4C44-A1B6-6161911C519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96B2CF-FA7C-42C9-AC32-8BF5B035F5E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2CEF46-8A8D-4E2D-A71E-94B8A0440A2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F6C3DD-7163-4764-83A3-724CCE013F1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F2993C-C105-4DB1-992A-EBD1AD0CBE3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C99AAE-0BFA-4964-A1F3-76FCF4F25B1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EA2138-B2CC-4B9E-A3D9-70348E9CD5E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8AFAD4-1DC6-4062-9A74-1CB4378A66F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38850D-53C8-4FBB-94CB-2A6B6C7E694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95F444-5A3B-4059-9CC5-2108A4163E2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65538F-8187-4B61-B917-E30853892AC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C33C09-03D1-419C-9BE5-0E79256B301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918B2B-7912-4CD5-A07A-B0E96E18341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995F93-03D4-4BC9-941C-A0B1CFB50D5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401DEA-FFF8-4CE9-B48E-94C7DB982E2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63C0B3-F97C-40B7-8F1D-4B27E3F4941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09A6B0-EF0A-4DD4-84CA-35BCE0A0F1F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F1C2ED-24C3-439B-B8C7-F9A90BA2841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9B00B3-60A0-4FD6-8833-1607BE16BC5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BBCC14-9F16-4845-B606-4271C3B1A46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2FD4BD-C7B8-42FF-8B67-9A8C8EA2614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6F74C8-DEF2-4417-8B51-ADC09555B3A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A8A1E0-D4F8-450D-B7AF-E6ED3803DC2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9423FB-DA7F-477B-A115-C34A5B58E76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4DA122-B8A4-43D8-8B08-09DB5563403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A2F14B-A157-4B99-AE71-2A7CAF29C84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161756-0F01-4CA5-9FBB-607E0C23D29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97143D-D005-4810-9D71-832B595DE8D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AB12A9-D4A2-4641-88EA-D929FCD5844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9AFB1D-68D3-4ECB-890D-E48A3174C40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DB0240-4D91-4DF7-8895-F924C40D66B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760532-90A7-4D29-8EDE-A52D8F49571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486370-C5F3-4246-9298-36ECC96D693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3A4E29-0219-4DBC-B08A-DF3E46365D2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2A6D9E-B137-4929-92AB-98987AB86CE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EA9D23-E516-4343-B49E-18F00D6CE3D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D8DB95-305C-4876-9DCF-969CCF43816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06B8AD-732C-44EC-8B17-E83AD188F83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DA1BD4-9EAB-483C-8535-C5F327CF68C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764FB2-60B9-4684-AEE5-1D9B231CF43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DB7D7F-3C84-4D9C-8721-E1ACB371467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160C9F-A12A-4131-9C42-F0265C04694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93162C-98A6-4C08-A4FC-A7C30677EA8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EEC13C-AB1B-43B7-B77D-AE0115E43F5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1BF1F9-4288-49CA-8B87-D1613F7541D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1F06BD-4056-479F-9964-05E2407F05F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C84BC3-F79C-4C7C-8033-DD236B32F31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2BAB65-0866-4D31-AE36-B33338314AB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723E65-F2DE-4DE9-BEB6-282A8D03A6C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4DFA50-33AF-4E85-9B2C-08A3A2B0BB0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65B971-6591-486D-9127-32D938B02EC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91B6C0-F308-4373-9275-89E6F119058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C17F32-AC57-4796-A8EB-59838308CFD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AA4078-77AB-4E34-8370-84BEF239B24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E5A3E6-16BA-4E9D-9543-F1C6456DFF3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A56B66-3A30-4B04-9FC3-89EBC2B7088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EC5170-05EE-4C2A-B63D-875B6E95445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FFA9C9-AFF2-40DD-9F91-D9B26852E2A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6A2113-0AD3-4F68-933A-9E74F8D2472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3A2C1A-16B6-4340-A739-38BDB7592B6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12AE4F-2A4C-4556-8E8F-DBD26BD5EE9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C5F5DA-389D-474B-B569-189D294793F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6B0B08-F3F1-4448-861A-4EB9D5DE8DE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069C3F-AC3C-4E0E-8576-06A7D576444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B8974B-BD05-4742-84F9-75B4F00738C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803D70-166F-4534-8C83-DDBD37600A4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E0E02-82FD-4108-BED5-477BB5AEC7E6}">
  <dimension ref="A1:Y121"/>
  <sheetViews>
    <sheetView tabSelected="1" workbookViewId="0">
      <pane xSplit="1" topLeftCell="B1" activePane="topRight" state="frozen"/>
      <selection pane="topRight" activeCell="A5" sqref="A5:Y6"/>
    </sheetView>
  </sheetViews>
  <sheetFormatPr defaultRowHeight="15" x14ac:dyDescent="0.25"/>
  <cols>
    <col min="1" max="1" width="46.85546875" customWidth="1"/>
    <col min="2" max="2" width="5.5703125" customWidth="1"/>
    <col min="3" max="3" width="0" hidden="1" customWidth="1"/>
    <col min="4" max="4" width="13.140625" customWidth="1"/>
    <col min="5" max="6" width="3.5703125" customWidth="1"/>
    <col min="7" max="7" width="10.7109375" bestFit="1" customWidth="1"/>
    <col min="8" max="8" width="3.5703125" bestFit="1" customWidth="1"/>
    <col min="9" max="9" width="3.5703125" customWidth="1"/>
    <col min="10" max="10" width="10.7109375" customWidth="1"/>
    <col min="11" max="11" width="3.5703125" bestFit="1" customWidth="1"/>
    <col min="12" max="12" width="3.5703125" customWidth="1"/>
    <col min="13" max="13" width="10.7109375" customWidth="1"/>
    <col min="14" max="15" width="3.5703125" bestFit="1" customWidth="1"/>
    <col min="16" max="16" width="10.7109375" customWidth="1"/>
    <col min="17" max="17" width="3.5703125" bestFit="1" customWidth="1"/>
    <col min="18" max="18" width="3.5703125" customWidth="1"/>
    <col min="19" max="19" width="10.7109375" customWidth="1"/>
    <col min="20" max="20" width="3.5703125" bestFit="1" customWidth="1"/>
    <col min="21" max="21" width="3.5703125" customWidth="1"/>
    <col min="22" max="22" width="11.7109375" bestFit="1" customWidth="1"/>
    <col min="23" max="23" width="10.42578125" bestFit="1" customWidth="1"/>
    <col min="24" max="24" width="6.140625" customWidth="1"/>
    <col min="25" max="25" width="16.28515625" customWidth="1"/>
  </cols>
  <sheetData>
    <row r="1" spans="1:2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2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3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x14ac:dyDescent="0.25">
      <c r="A9" s="5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x14ac:dyDescent="0.25">
      <c r="A11" s="7" t="s">
        <v>2</v>
      </c>
      <c r="B11" s="8" t="s">
        <v>3</v>
      </c>
      <c r="C11" s="8"/>
      <c r="D11" s="8"/>
      <c r="E11" s="8" t="s">
        <v>4</v>
      </c>
      <c r="F11" s="8"/>
      <c r="G11" s="8"/>
      <c r="H11" s="9" t="s">
        <v>5</v>
      </c>
      <c r="I11" s="10"/>
      <c r="J11" s="11"/>
      <c r="K11" s="9" t="s">
        <v>6</v>
      </c>
      <c r="L11" s="10"/>
      <c r="M11" s="11"/>
      <c r="N11" s="9" t="s">
        <v>7</v>
      </c>
      <c r="O11" s="10"/>
      <c r="P11" s="11"/>
      <c r="Q11" s="9" t="s">
        <v>8</v>
      </c>
      <c r="R11" s="10"/>
      <c r="S11" s="11"/>
      <c r="T11" s="8" t="s">
        <v>9</v>
      </c>
      <c r="U11" s="8"/>
      <c r="V11" s="8"/>
      <c r="W11" s="12" t="s">
        <v>10</v>
      </c>
      <c r="X11" s="12"/>
      <c r="Y11" s="12"/>
    </row>
    <row r="12" spans="1:25" x14ac:dyDescent="0.25">
      <c r="A12" s="13" t="s">
        <v>11</v>
      </c>
      <c r="B12" s="14">
        <f>B13+B14+B15</f>
        <v>9586.0300000000007</v>
      </c>
      <c r="C12" s="15"/>
      <c r="D12" s="16"/>
      <c r="E12" s="17"/>
      <c r="F12" s="18"/>
      <c r="G12" s="19"/>
      <c r="H12" s="20"/>
      <c r="I12" s="21"/>
      <c r="J12" s="22"/>
      <c r="K12" s="21"/>
      <c r="L12" s="21"/>
      <c r="M12" s="21"/>
      <c r="N12" s="23"/>
      <c r="O12" s="24"/>
      <c r="P12" s="25"/>
      <c r="Q12" s="23"/>
      <c r="R12" s="24"/>
      <c r="S12" s="25"/>
      <c r="T12" s="14">
        <f>9586.03</f>
        <v>9586.0300000000007</v>
      </c>
      <c r="U12" s="15"/>
      <c r="V12" s="16"/>
      <c r="W12" s="26">
        <f>9586.03</f>
        <v>9586.0300000000007</v>
      </c>
      <c r="X12" s="26"/>
      <c r="Y12" s="26"/>
    </row>
    <row r="13" spans="1:25" x14ac:dyDescent="0.25">
      <c r="A13" s="27" t="s">
        <v>12</v>
      </c>
      <c r="B13" s="28">
        <f>13836</f>
        <v>13836</v>
      </c>
      <c r="C13" s="29"/>
      <c r="D13" s="30"/>
      <c r="E13" s="31"/>
      <c r="F13" s="32"/>
      <c r="G13" s="33"/>
      <c r="H13" s="34"/>
      <c r="I13" s="35"/>
      <c r="J13" s="36"/>
      <c r="K13" s="35"/>
      <c r="L13" s="35"/>
      <c r="M13" s="35"/>
      <c r="N13" s="23"/>
      <c r="O13" s="24"/>
      <c r="P13" s="25"/>
      <c r="Q13" s="23"/>
      <c r="R13" s="24"/>
      <c r="S13" s="25"/>
      <c r="T13" s="28"/>
      <c r="U13" s="29"/>
      <c r="V13" s="30"/>
      <c r="W13" s="37"/>
      <c r="X13" s="37"/>
      <c r="Y13" s="37"/>
    </row>
    <row r="14" spans="1:25" x14ac:dyDescent="0.25">
      <c r="A14" s="27" t="s">
        <v>13</v>
      </c>
      <c r="B14" s="28">
        <f>642.76</f>
        <v>642.76</v>
      </c>
      <c r="C14" s="29"/>
      <c r="D14" s="30"/>
      <c r="E14" s="31"/>
      <c r="F14" s="32"/>
      <c r="G14" s="33"/>
      <c r="H14" s="34"/>
      <c r="I14" s="35"/>
      <c r="J14" s="36"/>
      <c r="K14" s="35"/>
      <c r="L14" s="35"/>
      <c r="M14" s="35"/>
      <c r="N14" s="23"/>
      <c r="O14" s="24"/>
      <c r="P14" s="25"/>
      <c r="Q14" s="23"/>
      <c r="R14" s="24"/>
      <c r="S14" s="25"/>
      <c r="T14" s="28"/>
      <c r="U14" s="29"/>
      <c r="V14" s="30"/>
      <c r="W14" s="38"/>
      <c r="X14" s="38"/>
      <c r="Y14" s="38"/>
    </row>
    <row r="15" spans="1:25" x14ac:dyDescent="0.25">
      <c r="A15" s="27" t="s">
        <v>14</v>
      </c>
      <c r="B15" s="28">
        <f>-4892.73</f>
        <v>-4892.7299999999996</v>
      </c>
      <c r="C15" s="29"/>
      <c r="D15" s="30"/>
      <c r="E15" s="31"/>
      <c r="F15" s="32"/>
      <c r="G15" s="33"/>
      <c r="H15" s="34"/>
      <c r="I15" s="35"/>
      <c r="J15" s="36"/>
      <c r="K15" s="39"/>
      <c r="L15" s="40"/>
      <c r="M15" s="41"/>
      <c r="N15" s="23"/>
      <c r="O15" s="24"/>
      <c r="P15" s="25"/>
      <c r="Q15" s="23"/>
      <c r="R15" s="24"/>
      <c r="S15" s="25"/>
      <c r="T15" s="28"/>
      <c r="U15" s="29"/>
      <c r="V15" s="30"/>
      <c r="W15" s="38"/>
      <c r="X15" s="38"/>
      <c r="Y15" s="38"/>
    </row>
    <row r="16" spans="1:25" x14ac:dyDescent="0.25">
      <c r="A16" s="42" t="s">
        <v>15</v>
      </c>
      <c r="B16" s="43">
        <f>4186449.06</f>
        <v>4186449.06</v>
      </c>
      <c r="C16" s="44"/>
      <c r="D16" s="45"/>
      <c r="E16" s="46"/>
      <c r="F16" s="47"/>
      <c r="G16" s="48"/>
      <c r="H16" s="49"/>
      <c r="I16" s="50"/>
      <c r="J16" s="51"/>
      <c r="K16" s="50"/>
      <c r="L16" s="50"/>
      <c r="M16" s="50"/>
      <c r="N16" s="52"/>
      <c r="O16" s="53"/>
      <c r="P16" s="54"/>
      <c r="Q16" s="46"/>
      <c r="R16" s="47"/>
      <c r="S16" s="48"/>
      <c r="T16" s="43">
        <f>V27</f>
        <v>382233.84</v>
      </c>
      <c r="U16" s="44"/>
      <c r="V16" s="45"/>
      <c r="W16" s="55">
        <f>Y27</f>
        <v>4568682.9000000004</v>
      </c>
      <c r="X16" s="55"/>
      <c r="Y16" s="55"/>
    </row>
    <row r="17" spans="1:25" x14ac:dyDescent="0.25">
      <c r="A17" s="56" t="s">
        <v>16</v>
      </c>
      <c r="B17" s="57">
        <f>2036201.14</f>
        <v>2036201.14</v>
      </c>
      <c r="C17" s="58"/>
      <c r="D17" s="59"/>
      <c r="E17" s="60"/>
      <c r="F17" s="61"/>
      <c r="G17" s="62"/>
      <c r="H17" s="63"/>
      <c r="I17" s="64"/>
      <c r="J17" s="65"/>
      <c r="K17" s="64"/>
      <c r="L17" s="64"/>
      <c r="M17" s="64"/>
      <c r="N17" s="66"/>
      <c r="O17" s="67"/>
      <c r="P17" s="68"/>
      <c r="Q17" s="60"/>
      <c r="R17" s="61"/>
      <c r="S17" s="62"/>
      <c r="T17" s="57">
        <f>T102</f>
        <v>283577.19</v>
      </c>
      <c r="U17" s="58"/>
      <c r="V17" s="59"/>
      <c r="W17" s="69">
        <f>X102</f>
        <v>2319778.33</v>
      </c>
      <c r="X17" s="69"/>
      <c r="Y17" s="69"/>
    </row>
    <row r="18" spans="1:25" x14ac:dyDescent="0.25">
      <c r="A18" s="42" t="s">
        <v>17</v>
      </c>
      <c r="B18" s="70">
        <f>B16-B17+B12</f>
        <v>2159833.9499999997</v>
      </c>
      <c r="C18" s="71"/>
      <c r="D18" s="72"/>
      <c r="E18" s="73"/>
      <c r="F18" s="74"/>
      <c r="G18" s="75"/>
      <c r="H18" s="76"/>
      <c r="I18" s="77"/>
      <c r="J18" s="78"/>
      <c r="K18" s="77"/>
      <c r="L18" s="77"/>
      <c r="M18" s="77"/>
      <c r="N18" s="79"/>
      <c r="O18" s="80"/>
      <c r="P18" s="81"/>
      <c r="Q18" s="73"/>
      <c r="R18" s="74"/>
      <c r="S18" s="75"/>
      <c r="T18" s="70">
        <f>T16-T17</f>
        <v>98656.650000000023</v>
      </c>
      <c r="U18" s="71"/>
      <c r="V18" s="72"/>
      <c r="W18" s="82">
        <f>W16-W17+W12</f>
        <v>2258490.6</v>
      </c>
      <c r="X18" s="82"/>
      <c r="Y18" s="82"/>
    </row>
    <row r="19" spans="1:2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83" t="s">
        <v>18</v>
      </c>
      <c r="B21" s="8" t="s">
        <v>3</v>
      </c>
      <c r="C21" s="8"/>
      <c r="D21" s="8"/>
      <c r="E21" s="9" t="s">
        <v>4</v>
      </c>
      <c r="F21" s="10"/>
      <c r="G21" s="11"/>
      <c r="H21" s="9" t="s">
        <v>5</v>
      </c>
      <c r="I21" s="10"/>
      <c r="J21" s="11"/>
      <c r="K21" s="9" t="s">
        <v>6</v>
      </c>
      <c r="L21" s="10"/>
      <c r="M21" s="11"/>
      <c r="N21" s="9" t="s">
        <v>7</v>
      </c>
      <c r="O21" s="10"/>
      <c r="P21" s="11"/>
      <c r="Q21" s="9" t="s">
        <v>8</v>
      </c>
      <c r="R21" s="10"/>
      <c r="S21" s="11"/>
      <c r="T21" s="8" t="s">
        <v>9</v>
      </c>
      <c r="U21" s="8"/>
      <c r="V21" s="8"/>
      <c r="W21" s="84" t="s">
        <v>19</v>
      </c>
      <c r="X21" s="12" t="s">
        <v>10</v>
      </c>
      <c r="Y21" s="12"/>
    </row>
    <row r="22" spans="1:25" x14ac:dyDescent="0.25">
      <c r="A22" s="85"/>
      <c r="B22" s="86" t="s">
        <v>20</v>
      </c>
      <c r="C22" s="87"/>
      <c r="D22" s="88" t="s">
        <v>21</v>
      </c>
      <c r="E22" s="88" t="s">
        <v>22</v>
      </c>
      <c r="F22" s="88" t="s">
        <v>23</v>
      </c>
      <c r="G22" s="88" t="s">
        <v>21</v>
      </c>
      <c r="H22" s="88" t="s">
        <v>22</v>
      </c>
      <c r="I22" s="88" t="s">
        <v>23</v>
      </c>
      <c r="J22" s="88"/>
      <c r="K22" s="88" t="s">
        <v>22</v>
      </c>
      <c r="L22" s="88" t="s">
        <v>23</v>
      </c>
      <c r="M22" s="88"/>
      <c r="N22" s="88" t="s">
        <v>22</v>
      </c>
      <c r="O22" s="88" t="s">
        <v>23</v>
      </c>
      <c r="P22" s="88"/>
      <c r="Q22" s="88" t="s">
        <v>22</v>
      </c>
      <c r="R22" s="88" t="s">
        <v>23</v>
      </c>
      <c r="S22" s="88"/>
      <c r="T22" s="88" t="s">
        <v>22</v>
      </c>
      <c r="U22" s="88" t="s">
        <v>23</v>
      </c>
      <c r="V22" s="88" t="s">
        <v>21</v>
      </c>
      <c r="W22" s="84"/>
      <c r="X22" s="89" t="s">
        <v>20</v>
      </c>
      <c r="Y22" s="89" t="s">
        <v>21</v>
      </c>
    </row>
    <row r="23" spans="1:25" x14ac:dyDescent="0.25">
      <c r="A23" s="90" t="s">
        <v>24</v>
      </c>
      <c r="B23" s="91">
        <v>158</v>
      </c>
      <c r="C23" s="92"/>
      <c r="D23" s="93">
        <f>17760.02+186880+2455.53+1205.11</f>
        <v>208300.65999999997</v>
      </c>
      <c r="E23" s="94"/>
      <c r="F23" s="94"/>
      <c r="G23" s="93"/>
      <c r="H23" s="94"/>
      <c r="I23" s="95"/>
      <c r="J23" s="93"/>
      <c r="K23" s="94"/>
      <c r="L23" s="95"/>
      <c r="M23" s="93"/>
      <c r="N23" s="94"/>
      <c r="O23" s="94"/>
      <c r="P23" s="93"/>
      <c r="Q23" s="94"/>
      <c r="R23" s="95"/>
      <c r="S23" s="93"/>
      <c r="T23" s="94"/>
      <c r="U23" s="95"/>
      <c r="V23" s="96"/>
      <c r="W23" s="97"/>
      <c r="X23" s="98">
        <v>158</v>
      </c>
      <c r="Y23" s="99">
        <f>208300.66</f>
        <v>208300.66</v>
      </c>
    </row>
    <row r="24" spans="1:25" x14ac:dyDescent="0.25">
      <c r="A24" s="27" t="s">
        <v>25</v>
      </c>
      <c r="B24" s="91">
        <v>5872</v>
      </c>
      <c r="C24" s="92"/>
      <c r="D24" s="93">
        <f>3713342.03</f>
        <v>3713342.03</v>
      </c>
      <c r="E24" s="94">
        <f>-10</f>
        <v>-10</v>
      </c>
      <c r="F24" s="94">
        <v>9</v>
      </c>
      <c r="G24" s="100">
        <f>40+40+120+20+115920+40+127.33</f>
        <v>116307.33</v>
      </c>
      <c r="H24" s="94">
        <v>-8</v>
      </c>
      <c r="I24" s="95">
        <v>20</v>
      </c>
      <c r="J24" s="100">
        <f>20+60+80+80+80+80+180+114720+280</f>
        <v>115580</v>
      </c>
      <c r="K24" s="94">
        <v>-7</v>
      </c>
      <c r="L24" s="95">
        <v>17</v>
      </c>
      <c r="M24" s="100">
        <f>80+40+80+40+80+360+80+80+60+80+80+40+80+40+1700+20+80+80+80+80+80+80+80+80</f>
        <v>3580</v>
      </c>
      <c r="N24" s="94">
        <v>-16</v>
      </c>
      <c r="O24" s="94">
        <v>9</v>
      </c>
      <c r="P24" s="100">
        <f>520+120+400+80+20+30+80+20+116620+100+60+160</f>
        <v>118210</v>
      </c>
      <c r="Q24" s="94">
        <v>-16</v>
      </c>
      <c r="R24" s="95">
        <v>13</v>
      </c>
      <c r="S24" s="100">
        <f>100+140+100+100+80+160+80+80+20+60+40+100+140+40+220+620</f>
        <v>2080</v>
      </c>
      <c r="T24" s="94">
        <f>-10-8-7-16-16</f>
        <v>-57</v>
      </c>
      <c r="U24" s="95">
        <f>9+20+17+9+13</f>
        <v>68</v>
      </c>
      <c r="V24" s="96">
        <f>0+G24+J24+M24+P24+S24</f>
        <v>355757.33</v>
      </c>
      <c r="W24" s="101">
        <f>V24/V27</f>
        <v>0.93073216646647505</v>
      </c>
      <c r="X24" s="102">
        <f>5872+T24+U24</f>
        <v>5883</v>
      </c>
      <c r="Y24" s="103">
        <f>3713342.03+V24</f>
        <v>4069099.36</v>
      </c>
    </row>
    <row r="25" spans="1:25" x14ac:dyDescent="0.25">
      <c r="A25" s="104" t="s">
        <v>26</v>
      </c>
      <c r="B25" s="91"/>
      <c r="C25" s="92"/>
      <c r="D25" s="93">
        <f>263771.64</f>
        <v>263771.64</v>
      </c>
      <c r="E25" s="94"/>
      <c r="F25" s="94"/>
      <c r="G25" s="100">
        <f>3456.99+2528.85+1258.22+447.4</f>
        <v>7691.46</v>
      </c>
      <c r="H25" s="94"/>
      <c r="I25" s="95"/>
      <c r="J25" s="100">
        <f>2097.79+989.67+2306.35</f>
        <v>5393.8099999999995</v>
      </c>
      <c r="K25" s="94"/>
      <c r="L25" s="95"/>
      <c r="M25" s="100">
        <f>2670.71+1353.08+748.68</f>
        <v>4772.47</v>
      </c>
      <c r="N25" s="94"/>
      <c r="O25" s="94"/>
      <c r="P25" s="100">
        <f>994.9+25.38+2243.52</f>
        <v>3263.8</v>
      </c>
      <c r="Q25" s="94"/>
      <c r="R25" s="95"/>
      <c r="S25" s="100">
        <f>766.4+2494.19+209.71+1884.67</f>
        <v>5354.97</v>
      </c>
      <c r="T25" s="94"/>
      <c r="U25" s="95"/>
      <c r="V25" s="96">
        <f>0+G25+J25+M25+P25+S25</f>
        <v>26476.510000000002</v>
      </c>
      <c r="W25" s="101">
        <f>V25/V27</f>
        <v>6.926783353352492E-2</v>
      </c>
      <c r="X25" s="95"/>
      <c r="Y25" s="103">
        <f>263771.64+V25</f>
        <v>290248.15000000002</v>
      </c>
    </row>
    <row r="26" spans="1:25" x14ac:dyDescent="0.25">
      <c r="A26" s="95" t="s">
        <v>27</v>
      </c>
      <c r="B26" s="91"/>
      <c r="C26" s="92"/>
      <c r="D26" s="93">
        <f>1034.73</f>
        <v>1034.73</v>
      </c>
      <c r="E26" s="94"/>
      <c r="F26" s="94"/>
      <c r="G26" s="93"/>
      <c r="H26" s="94"/>
      <c r="I26" s="95"/>
      <c r="J26" s="93"/>
      <c r="K26" s="94"/>
      <c r="L26" s="95"/>
      <c r="M26" s="93"/>
      <c r="N26" s="94"/>
      <c r="O26" s="94"/>
      <c r="P26" s="93"/>
      <c r="Q26" s="94"/>
      <c r="R26" s="95"/>
      <c r="S26" s="93"/>
      <c r="T26" s="94"/>
      <c r="U26" s="95"/>
      <c r="V26" s="96">
        <f>0+G26</f>
        <v>0</v>
      </c>
      <c r="W26" s="97">
        <f>V26/V27</f>
        <v>0</v>
      </c>
      <c r="X26" s="105"/>
      <c r="Y26" s="99">
        <f>1034.73+V26</f>
        <v>1034.73</v>
      </c>
    </row>
    <row r="27" spans="1:25" x14ac:dyDescent="0.25">
      <c r="A27" s="106" t="s">
        <v>28</v>
      </c>
      <c r="B27" s="107">
        <f>SUM(B23:C26)</f>
        <v>6030</v>
      </c>
      <c r="C27" s="108"/>
      <c r="D27" s="109">
        <f>SUM(D23:D26)</f>
        <v>4186449.06</v>
      </c>
      <c r="E27" s="107">
        <f>B27+E24+F24</f>
        <v>6029</v>
      </c>
      <c r="F27" s="108"/>
      <c r="G27" s="109">
        <f>SUM(G23:G26)</f>
        <v>123998.79000000001</v>
      </c>
      <c r="H27" s="110">
        <f>E27+H24+I24</f>
        <v>6041</v>
      </c>
      <c r="I27" s="110"/>
      <c r="J27" s="109">
        <f>SUM(J24:J26)</f>
        <v>120973.81</v>
      </c>
      <c r="K27" s="110">
        <f>H27+K24+L24</f>
        <v>6051</v>
      </c>
      <c r="L27" s="110"/>
      <c r="M27" s="109">
        <f>SUM(M24:M26)</f>
        <v>8352.4700000000012</v>
      </c>
      <c r="N27" s="111">
        <f>K27+N24+O24</f>
        <v>6044</v>
      </c>
      <c r="O27" s="112"/>
      <c r="P27" s="109">
        <f>SUM(P24:P26)</f>
        <v>121473.8</v>
      </c>
      <c r="Q27" s="111">
        <f>N27+Q24+R24</f>
        <v>6041</v>
      </c>
      <c r="R27" s="112"/>
      <c r="S27" s="109">
        <f>SUM(S24:S26)</f>
        <v>7434.97</v>
      </c>
      <c r="T27" s="110">
        <f>B27+T24+U24</f>
        <v>6041</v>
      </c>
      <c r="U27" s="110"/>
      <c r="V27" s="109">
        <f>SUM(V23:V26)</f>
        <v>382233.84</v>
      </c>
      <c r="W27" s="113">
        <f>V27/V27</f>
        <v>1</v>
      </c>
      <c r="X27" s="114">
        <f>SUM(X23:X26)</f>
        <v>6041</v>
      </c>
      <c r="Y27" s="115">
        <f>SUM(Y23:Y26)</f>
        <v>4568682.9000000004</v>
      </c>
    </row>
    <row r="28" spans="1:25" x14ac:dyDescent="0.2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</row>
    <row r="29" spans="1:25" x14ac:dyDescent="0.2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</row>
    <row r="30" spans="1:25" ht="15.75" x14ac:dyDescent="0.25">
      <c r="A30" s="5" t="s">
        <v>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x14ac:dyDescent="0.25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</row>
    <row r="32" spans="1:25" x14ac:dyDescent="0.25">
      <c r="A32" s="118" t="s">
        <v>16</v>
      </c>
      <c r="B32" s="8" t="s">
        <v>3</v>
      </c>
      <c r="C32" s="8"/>
      <c r="D32" s="8"/>
      <c r="E32" s="119" t="s">
        <v>4</v>
      </c>
      <c r="F32" s="120"/>
      <c r="G32" s="120"/>
      <c r="H32" s="119" t="s">
        <v>5</v>
      </c>
      <c r="I32" s="120"/>
      <c r="J32" s="121"/>
      <c r="K32" s="119" t="s">
        <v>6</v>
      </c>
      <c r="L32" s="120"/>
      <c r="M32" s="121"/>
      <c r="N32" s="119" t="s">
        <v>7</v>
      </c>
      <c r="O32" s="120"/>
      <c r="P32" s="121"/>
      <c r="Q32" s="9" t="s">
        <v>8</v>
      </c>
      <c r="R32" s="10"/>
      <c r="S32" s="11"/>
      <c r="T32" s="8" t="s">
        <v>9</v>
      </c>
      <c r="U32" s="8"/>
      <c r="V32" s="8"/>
      <c r="W32" s="122" t="s">
        <v>19</v>
      </c>
      <c r="X32" s="12" t="s">
        <v>10</v>
      </c>
      <c r="Y32" s="12"/>
    </row>
    <row r="33" spans="1:25" x14ac:dyDescent="0.25">
      <c r="A33" s="123" t="s">
        <v>30</v>
      </c>
      <c r="B33" s="124">
        <f>SUM(B34:D41)</f>
        <v>291683.03000000003</v>
      </c>
      <c r="C33" s="124"/>
      <c r="D33" s="124"/>
      <c r="E33" s="125">
        <f>SUM(E34:G41)</f>
        <v>16540.830000000002</v>
      </c>
      <c r="F33" s="126"/>
      <c r="G33" s="127"/>
      <c r="H33" s="125">
        <f>SUM(H34:J41)</f>
        <v>9994.66</v>
      </c>
      <c r="I33" s="126"/>
      <c r="J33" s="127"/>
      <c r="K33" s="125">
        <f>SUM(K34:M41)</f>
        <v>22394.66</v>
      </c>
      <c r="L33" s="126"/>
      <c r="M33" s="127"/>
      <c r="N33" s="125">
        <f>SUM(N34:P41)</f>
        <v>20217.91</v>
      </c>
      <c r="O33" s="126"/>
      <c r="P33" s="127"/>
      <c r="Q33" s="125">
        <f>SUM(Q34:S41)</f>
        <v>11771.41</v>
      </c>
      <c r="R33" s="126"/>
      <c r="S33" s="127"/>
      <c r="T33" s="124">
        <f>SUM(T34:V41)</f>
        <v>80919.47</v>
      </c>
      <c r="U33" s="124"/>
      <c r="V33" s="124"/>
      <c r="W33" s="128">
        <f>T33/T102</f>
        <v>0.28535253487771706</v>
      </c>
      <c r="X33" s="129">
        <f>SUM(X34:Y41)</f>
        <v>372602.5</v>
      </c>
      <c r="Y33" s="129"/>
    </row>
    <row r="34" spans="1:25" x14ac:dyDescent="0.25">
      <c r="A34" s="130" t="s">
        <v>31</v>
      </c>
      <c r="B34" s="131">
        <f>72200.64</f>
        <v>72200.639999999999</v>
      </c>
      <c r="C34" s="131"/>
      <c r="D34" s="131"/>
      <c r="E34" s="23">
        <v>0</v>
      </c>
      <c r="F34" s="24"/>
      <c r="G34" s="25"/>
      <c r="H34" s="23">
        <v>0</v>
      </c>
      <c r="I34" s="24"/>
      <c r="J34" s="25"/>
      <c r="K34" s="23">
        <v>0</v>
      </c>
      <c r="L34" s="24"/>
      <c r="M34" s="25"/>
      <c r="N34" s="23">
        <v>0</v>
      </c>
      <c r="O34" s="24"/>
      <c r="P34" s="25"/>
      <c r="Q34" s="23">
        <v>0</v>
      </c>
      <c r="R34" s="24"/>
      <c r="S34" s="25"/>
      <c r="T34" s="131">
        <f>0+E34+H34+K34+N34+Q34</f>
        <v>0</v>
      </c>
      <c r="U34" s="131"/>
      <c r="V34" s="131"/>
      <c r="W34" s="132">
        <f>T34/T102</f>
        <v>0</v>
      </c>
      <c r="X34" s="133">
        <f>72200.64+T34</f>
        <v>72200.639999999999</v>
      </c>
      <c r="Y34" s="133"/>
    </row>
    <row r="35" spans="1:25" x14ac:dyDescent="0.25">
      <c r="A35" s="134" t="s">
        <v>32</v>
      </c>
      <c r="B35" s="131">
        <v>36000</v>
      </c>
      <c r="C35" s="131"/>
      <c r="D35" s="131"/>
      <c r="E35" s="135">
        <f>6000</f>
        <v>6000</v>
      </c>
      <c r="F35" s="136"/>
      <c r="G35" s="137"/>
      <c r="H35" s="23">
        <v>0</v>
      </c>
      <c r="I35" s="24"/>
      <c r="J35" s="25"/>
      <c r="K35" s="23">
        <f>6000+6000</f>
        <v>12000</v>
      </c>
      <c r="L35" s="24"/>
      <c r="M35" s="25"/>
      <c r="N35" s="23">
        <f>6000</f>
        <v>6000</v>
      </c>
      <c r="O35" s="24"/>
      <c r="P35" s="25"/>
      <c r="Q35" s="23">
        <f>6000</f>
        <v>6000</v>
      </c>
      <c r="R35" s="24"/>
      <c r="S35" s="25"/>
      <c r="T35" s="131">
        <f>0+E35+H35+K35+N35+Q35</f>
        <v>30000</v>
      </c>
      <c r="U35" s="131"/>
      <c r="V35" s="131"/>
      <c r="W35" s="132">
        <f>T35/T102</f>
        <v>0.10579130147950193</v>
      </c>
      <c r="X35" s="133">
        <f>36000+T35</f>
        <v>66000</v>
      </c>
      <c r="Y35" s="133"/>
    </row>
    <row r="36" spans="1:25" x14ac:dyDescent="0.25">
      <c r="A36" s="130" t="s">
        <v>33</v>
      </c>
      <c r="B36" s="131">
        <v>41057.96</v>
      </c>
      <c r="C36" s="131"/>
      <c r="D36" s="131"/>
      <c r="E36" s="23">
        <f>1260</f>
        <v>1260</v>
      </c>
      <c r="F36" s="24"/>
      <c r="G36" s="25"/>
      <c r="H36" s="23">
        <f>925</f>
        <v>925</v>
      </c>
      <c r="I36" s="24"/>
      <c r="J36" s="25"/>
      <c r="K36" s="23">
        <f>1325</f>
        <v>1325</v>
      </c>
      <c r="L36" s="24"/>
      <c r="M36" s="25"/>
      <c r="N36" s="23">
        <f>925</f>
        <v>925</v>
      </c>
      <c r="O36" s="24"/>
      <c r="P36" s="25"/>
      <c r="Q36" s="23">
        <f>925</f>
        <v>925</v>
      </c>
      <c r="R36" s="24"/>
      <c r="S36" s="25"/>
      <c r="T36" s="131">
        <f t="shared" ref="T36:T41" si="0">0+E36+H36+K36+N36+Q36</f>
        <v>5360</v>
      </c>
      <c r="U36" s="131"/>
      <c r="V36" s="131"/>
      <c r="W36" s="132">
        <f>T36/T102</f>
        <v>1.8901379197671011E-2</v>
      </c>
      <c r="X36" s="133">
        <f>41057.96+T36</f>
        <v>46417.96</v>
      </c>
      <c r="Y36" s="133"/>
    </row>
    <row r="37" spans="1:25" x14ac:dyDescent="0.25">
      <c r="A37" s="130" t="s">
        <v>34</v>
      </c>
      <c r="B37" s="131">
        <v>97597.28</v>
      </c>
      <c r="C37" s="131"/>
      <c r="D37" s="131"/>
      <c r="E37" s="23">
        <v>4846.41</v>
      </c>
      <c r="F37" s="24"/>
      <c r="G37" s="25"/>
      <c r="H37" s="23">
        <f>4846.41</f>
        <v>4846.41</v>
      </c>
      <c r="I37" s="24"/>
      <c r="J37" s="25"/>
      <c r="K37" s="23">
        <f>4846.41</f>
        <v>4846.41</v>
      </c>
      <c r="L37" s="24"/>
      <c r="M37" s="25"/>
      <c r="N37" s="23">
        <f>4846.41</f>
        <v>4846.41</v>
      </c>
      <c r="O37" s="24"/>
      <c r="P37" s="25"/>
      <c r="Q37" s="23">
        <f>4846.41</f>
        <v>4846.41</v>
      </c>
      <c r="R37" s="24"/>
      <c r="S37" s="25"/>
      <c r="T37" s="131">
        <f t="shared" si="0"/>
        <v>24232.05</v>
      </c>
      <c r="U37" s="131"/>
      <c r="V37" s="131"/>
      <c r="W37" s="132">
        <f>T37/T102</f>
        <v>8.5451336900545488E-2</v>
      </c>
      <c r="X37" s="133">
        <f>97597.28+T37</f>
        <v>121829.33</v>
      </c>
      <c r="Y37" s="133"/>
    </row>
    <row r="38" spans="1:25" x14ac:dyDescent="0.25">
      <c r="A38" s="130" t="s">
        <v>35</v>
      </c>
      <c r="B38" s="131">
        <v>26669.75</v>
      </c>
      <c r="C38" s="131"/>
      <c r="D38" s="131"/>
      <c r="E38" s="23">
        <v>4434.42</v>
      </c>
      <c r="F38" s="24"/>
      <c r="G38" s="25"/>
      <c r="H38" s="23">
        <f>4223.25</f>
        <v>4223.25</v>
      </c>
      <c r="I38" s="24"/>
      <c r="J38" s="25"/>
      <c r="K38" s="23">
        <f>4223.25</f>
        <v>4223.25</v>
      </c>
      <c r="L38" s="24"/>
      <c r="M38" s="25"/>
      <c r="N38" s="23">
        <f>4223.25+4223.25</f>
        <v>8446.5</v>
      </c>
      <c r="O38" s="24"/>
      <c r="P38" s="25"/>
      <c r="Q38" s="23">
        <v>0</v>
      </c>
      <c r="R38" s="24"/>
      <c r="S38" s="25"/>
      <c r="T38" s="131">
        <f t="shared" si="0"/>
        <v>21327.42</v>
      </c>
      <c r="U38" s="131"/>
      <c r="V38" s="131"/>
      <c r="W38" s="132">
        <f>T38/T102</f>
        <v>7.5208517299998626E-2</v>
      </c>
      <c r="X38" s="133">
        <f>26669.75+T38</f>
        <v>47997.17</v>
      </c>
      <c r="Y38" s="133"/>
    </row>
    <row r="39" spans="1:25" x14ac:dyDescent="0.25">
      <c r="A39" s="130" t="s">
        <v>36</v>
      </c>
      <c r="B39" s="131">
        <f>8289</f>
        <v>8289</v>
      </c>
      <c r="C39" s="131"/>
      <c r="D39" s="131"/>
      <c r="E39" s="23">
        <v>0</v>
      </c>
      <c r="F39" s="24"/>
      <c r="G39" s="25"/>
      <c r="H39" s="23">
        <v>0</v>
      </c>
      <c r="I39" s="24"/>
      <c r="J39" s="25"/>
      <c r="K39" s="23">
        <v>0</v>
      </c>
      <c r="L39" s="24"/>
      <c r="M39" s="25"/>
      <c r="N39" s="23">
        <v>0</v>
      </c>
      <c r="O39" s="24"/>
      <c r="P39" s="25"/>
      <c r="Q39" s="23">
        <v>0</v>
      </c>
      <c r="R39" s="24"/>
      <c r="S39" s="25"/>
      <c r="T39" s="131">
        <f t="shared" si="0"/>
        <v>0</v>
      </c>
      <c r="U39" s="131"/>
      <c r="V39" s="131"/>
      <c r="W39" s="132">
        <f>T39/T102</f>
        <v>0</v>
      </c>
      <c r="X39" s="133">
        <f>8289+T39</f>
        <v>8289</v>
      </c>
      <c r="Y39" s="133"/>
    </row>
    <row r="40" spans="1:25" x14ac:dyDescent="0.25">
      <c r="A40" s="130" t="s">
        <v>37</v>
      </c>
      <c r="B40" s="131">
        <f>7863.4</f>
        <v>7863.4</v>
      </c>
      <c r="C40" s="131"/>
      <c r="D40" s="131"/>
      <c r="E40" s="23">
        <v>0</v>
      </c>
      <c r="F40" s="24"/>
      <c r="G40" s="25"/>
      <c r="H40" s="23">
        <v>0</v>
      </c>
      <c r="I40" s="24"/>
      <c r="J40" s="25"/>
      <c r="K40" s="23">
        <v>0</v>
      </c>
      <c r="L40" s="24"/>
      <c r="M40" s="25"/>
      <c r="N40" s="23">
        <v>0</v>
      </c>
      <c r="O40" s="24"/>
      <c r="P40" s="25"/>
      <c r="Q40" s="23">
        <v>0</v>
      </c>
      <c r="R40" s="24"/>
      <c r="S40" s="25"/>
      <c r="T40" s="131">
        <f t="shared" si="0"/>
        <v>0</v>
      </c>
      <c r="U40" s="131"/>
      <c r="V40" s="131"/>
      <c r="W40" s="132">
        <f>T40/T102</f>
        <v>0</v>
      </c>
      <c r="X40" s="133">
        <f>7863.4+T40</f>
        <v>7863.4</v>
      </c>
      <c r="Y40" s="133"/>
    </row>
    <row r="41" spans="1:25" x14ac:dyDescent="0.25">
      <c r="A41" s="130" t="s">
        <v>38</v>
      </c>
      <c r="B41" s="131">
        <f>2005</f>
        <v>2005</v>
      </c>
      <c r="C41" s="131"/>
      <c r="D41" s="131"/>
      <c r="E41" s="23">
        <v>0</v>
      </c>
      <c r="F41" s="24"/>
      <c r="G41" s="25"/>
      <c r="H41" s="23">
        <v>0</v>
      </c>
      <c r="I41" s="24"/>
      <c r="J41" s="25"/>
      <c r="K41" s="23">
        <v>0</v>
      </c>
      <c r="L41" s="24"/>
      <c r="M41" s="25"/>
      <c r="N41" s="23">
        <v>0</v>
      </c>
      <c r="O41" s="24"/>
      <c r="P41" s="25"/>
      <c r="Q41" s="23">
        <v>0</v>
      </c>
      <c r="R41" s="24"/>
      <c r="S41" s="25"/>
      <c r="T41" s="131">
        <f t="shared" si="0"/>
        <v>0</v>
      </c>
      <c r="U41" s="131"/>
      <c r="V41" s="131"/>
      <c r="W41" s="132">
        <f>T41/T102</f>
        <v>0</v>
      </c>
      <c r="X41" s="133">
        <f>2005+T41</f>
        <v>2005</v>
      </c>
      <c r="Y41" s="133"/>
    </row>
    <row r="42" spans="1:25" x14ac:dyDescent="0.25">
      <c r="A42" s="123" t="s">
        <v>39</v>
      </c>
      <c r="B42" s="124">
        <f>SUM(B43:D45)</f>
        <v>380413.85</v>
      </c>
      <c r="C42" s="124"/>
      <c r="D42" s="124"/>
      <c r="E42" s="124">
        <f>SUM(E43:G45)</f>
        <v>0</v>
      </c>
      <c r="F42" s="124"/>
      <c r="G42" s="124"/>
      <c r="H42" s="124">
        <f>SUM(H43:J45)</f>
        <v>0</v>
      </c>
      <c r="I42" s="124"/>
      <c r="J42" s="124"/>
      <c r="K42" s="124">
        <f>SUM(K43:M45)</f>
        <v>0</v>
      </c>
      <c r="L42" s="124"/>
      <c r="M42" s="124"/>
      <c r="N42" s="124">
        <f>SUM(N43:P45)</f>
        <v>25000</v>
      </c>
      <c r="O42" s="124"/>
      <c r="P42" s="124"/>
      <c r="Q42" s="124">
        <f>SUM(Q43:S45)</f>
        <v>25000</v>
      </c>
      <c r="R42" s="124"/>
      <c r="S42" s="124"/>
      <c r="T42" s="124">
        <f>SUM(T43:V45)</f>
        <v>50000</v>
      </c>
      <c r="U42" s="124"/>
      <c r="V42" s="124"/>
      <c r="W42" s="128">
        <f>T42/T102</f>
        <v>0.17631883579916988</v>
      </c>
      <c r="X42" s="129">
        <f>SUM(X43:Y45)</f>
        <v>430413.85</v>
      </c>
      <c r="Y42" s="129"/>
    </row>
    <row r="43" spans="1:25" x14ac:dyDescent="0.25">
      <c r="A43" s="130" t="s">
        <v>40</v>
      </c>
      <c r="B43" s="131">
        <f>214077.5</f>
        <v>214077.5</v>
      </c>
      <c r="C43" s="131"/>
      <c r="D43" s="131"/>
      <c r="E43" s="23">
        <v>0</v>
      </c>
      <c r="F43" s="24"/>
      <c r="G43" s="25"/>
      <c r="H43" s="23">
        <v>0</v>
      </c>
      <c r="I43" s="24"/>
      <c r="J43" s="25"/>
      <c r="K43" s="23">
        <v>0</v>
      </c>
      <c r="L43" s="24"/>
      <c r="M43" s="25"/>
      <c r="N43" s="23">
        <f>25000</f>
        <v>25000</v>
      </c>
      <c r="O43" s="24"/>
      <c r="P43" s="25"/>
      <c r="Q43" s="23">
        <f>25000</f>
        <v>25000</v>
      </c>
      <c r="R43" s="24"/>
      <c r="S43" s="25"/>
      <c r="T43" s="131">
        <f>E43+H43+K43+N43+Q43</f>
        <v>50000</v>
      </c>
      <c r="U43" s="131"/>
      <c r="V43" s="131"/>
      <c r="W43" s="132">
        <f>T43/T102</f>
        <v>0.17631883579916988</v>
      </c>
      <c r="X43" s="133">
        <f>214077.5+T43</f>
        <v>264077.5</v>
      </c>
      <c r="Y43" s="133"/>
    </row>
    <row r="44" spans="1:25" x14ac:dyDescent="0.25">
      <c r="A44" s="130" t="s">
        <v>41</v>
      </c>
      <c r="B44" s="131">
        <f>151996.63</f>
        <v>151996.63</v>
      </c>
      <c r="C44" s="131"/>
      <c r="D44" s="131"/>
      <c r="E44" s="23">
        <v>0</v>
      </c>
      <c r="F44" s="24"/>
      <c r="G44" s="25"/>
      <c r="H44" s="23">
        <v>0</v>
      </c>
      <c r="I44" s="24"/>
      <c r="J44" s="25"/>
      <c r="K44" s="23">
        <v>0</v>
      </c>
      <c r="L44" s="24"/>
      <c r="M44" s="25"/>
      <c r="N44" s="23">
        <v>0</v>
      </c>
      <c r="O44" s="24"/>
      <c r="P44" s="25"/>
      <c r="Q44" s="23">
        <v>0</v>
      </c>
      <c r="R44" s="24"/>
      <c r="S44" s="25"/>
      <c r="T44" s="131">
        <f t="shared" ref="T44:T45" si="1">E44+H44+K44+N44+Q44</f>
        <v>0</v>
      </c>
      <c r="U44" s="131"/>
      <c r="V44" s="131"/>
      <c r="W44" s="132">
        <f>T44/T102</f>
        <v>0</v>
      </c>
      <c r="X44" s="133">
        <f>151996.63+T44</f>
        <v>151996.63</v>
      </c>
      <c r="Y44" s="133"/>
    </row>
    <row r="45" spans="1:25" x14ac:dyDescent="0.25">
      <c r="A45" s="130" t="s">
        <v>42</v>
      </c>
      <c r="B45" s="28">
        <v>14339.72</v>
      </c>
      <c r="C45" s="29"/>
      <c r="D45" s="30"/>
      <c r="E45" s="135">
        <v>0</v>
      </c>
      <c r="F45" s="136"/>
      <c r="G45" s="137"/>
      <c r="H45" s="23">
        <v>0</v>
      </c>
      <c r="I45" s="24"/>
      <c r="J45" s="25"/>
      <c r="K45" s="23">
        <v>0</v>
      </c>
      <c r="L45" s="24"/>
      <c r="M45" s="25"/>
      <c r="N45" s="23">
        <v>0</v>
      </c>
      <c r="O45" s="24"/>
      <c r="P45" s="25"/>
      <c r="Q45" s="23">
        <v>0</v>
      </c>
      <c r="R45" s="24"/>
      <c r="S45" s="25"/>
      <c r="T45" s="131">
        <f t="shared" si="1"/>
        <v>0</v>
      </c>
      <c r="U45" s="131"/>
      <c r="V45" s="131"/>
      <c r="W45" s="132">
        <f>T45/T103</f>
        <v>0</v>
      </c>
      <c r="X45" s="133">
        <f>14339.72+T45</f>
        <v>14339.72</v>
      </c>
      <c r="Y45" s="133"/>
    </row>
    <row r="46" spans="1:25" x14ac:dyDescent="0.25">
      <c r="A46" s="123" t="s">
        <v>43</v>
      </c>
      <c r="B46" s="124">
        <f>SUM(B47:D49)</f>
        <v>77211.740000000005</v>
      </c>
      <c r="C46" s="124"/>
      <c r="D46" s="124"/>
      <c r="E46" s="124">
        <f>SUM(E47:G49)</f>
        <v>0</v>
      </c>
      <c r="F46" s="124"/>
      <c r="G46" s="124"/>
      <c r="H46" s="124">
        <f>SUM(H47:J49)</f>
        <v>0</v>
      </c>
      <c r="I46" s="124"/>
      <c r="J46" s="124"/>
      <c r="K46" s="124">
        <f>SUM(K47:M49)</f>
        <v>0</v>
      </c>
      <c r="L46" s="124"/>
      <c r="M46" s="124"/>
      <c r="N46" s="124">
        <f>SUM(N47:P49)</f>
        <v>0</v>
      </c>
      <c r="O46" s="124"/>
      <c r="P46" s="124"/>
      <c r="Q46" s="124">
        <f>SUM(Q47:S49)</f>
        <v>0</v>
      </c>
      <c r="R46" s="124"/>
      <c r="S46" s="124"/>
      <c r="T46" s="124">
        <f>SUM(T47:V49)</f>
        <v>0</v>
      </c>
      <c r="U46" s="124"/>
      <c r="V46" s="124"/>
      <c r="W46" s="128">
        <f>T46/T102</f>
        <v>0</v>
      </c>
      <c r="X46" s="129">
        <f>SUM(X47:Y49)</f>
        <v>77211.740000000005</v>
      </c>
      <c r="Y46" s="129"/>
    </row>
    <row r="47" spans="1:25" x14ac:dyDescent="0.25">
      <c r="A47" s="130" t="s">
        <v>44</v>
      </c>
      <c r="B47" s="138">
        <v>3414.91</v>
      </c>
      <c r="C47" s="138"/>
      <c r="D47" s="138"/>
      <c r="E47" s="23">
        <v>0</v>
      </c>
      <c r="F47" s="24"/>
      <c r="G47" s="25"/>
      <c r="H47" s="23">
        <v>0</v>
      </c>
      <c r="I47" s="24"/>
      <c r="J47" s="25"/>
      <c r="K47" s="23">
        <v>0</v>
      </c>
      <c r="L47" s="24"/>
      <c r="M47" s="25"/>
      <c r="N47" s="23">
        <v>0</v>
      </c>
      <c r="O47" s="24"/>
      <c r="P47" s="25"/>
      <c r="Q47" s="23">
        <v>0</v>
      </c>
      <c r="R47" s="24"/>
      <c r="S47" s="25"/>
      <c r="T47" s="131">
        <f>0+E47+H47+K47+N47+Q47</f>
        <v>0</v>
      </c>
      <c r="U47" s="131"/>
      <c r="V47" s="131"/>
      <c r="W47" s="132">
        <f>T47/T102</f>
        <v>0</v>
      </c>
      <c r="X47" s="133">
        <f>3414.91+T47</f>
        <v>3414.91</v>
      </c>
      <c r="Y47" s="133"/>
    </row>
    <row r="48" spans="1:25" x14ac:dyDescent="0.25">
      <c r="A48" s="130" t="s">
        <v>45</v>
      </c>
      <c r="B48" s="131">
        <v>11615.83</v>
      </c>
      <c r="C48" s="131"/>
      <c r="D48" s="131"/>
      <c r="E48" s="23">
        <v>0</v>
      </c>
      <c r="F48" s="24"/>
      <c r="G48" s="25"/>
      <c r="H48" s="23">
        <v>0</v>
      </c>
      <c r="I48" s="24"/>
      <c r="J48" s="25"/>
      <c r="K48" s="23">
        <v>0</v>
      </c>
      <c r="L48" s="24"/>
      <c r="M48" s="25"/>
      <c r="N48" s="23">
        <v>0</v>
      </c>
      <c r="O48" s="24"/>
      <c r="P48" s="25"/>
      <c r="Q48" s="23">
        <v>0</v>
      </c>
      <c r="R48" s="24"/>
      <c r="S48" s="25"/>
      <c r="T48" s="131">
        <f t="shared" ref="T48:T49" si="2">0+E48+H48+K48+N48+Q48</f>
        <v>0</v>
      </c>
      <c r="U48" s="131"/>
      <c r="V48" s="131"/>
      <c r="W48" s="132">
        <f>T48/T102</f>
        <v>0</v>
      </c>
      <c r="X48" s="133">
        <f>11615.83+T48</f>
        <v>11615.83</v>
      </c>
      <c r="Y48" s="133"/>
    </row>
    <row r="49" spans="1:25" x14ac:dyDescent="0.25">
      <c r="A49" s="130" t="s">
        <v>46</v>
      </c>
      <c r="B49" s="131">
        <v>62181</v>
      </c>
      <c r="C49" s="131"/>
      <c r="D49" s="131"/>
      <c r="E49" s="23">
        <v>0</v>
      </c>
      <c r="F49" s="24"/>
      <c r="G49" s="25"/>
      <c r="H49" s="23">
        <v>0</v>
      </c>
      <c r="I49" s="24"/>
      <c r="J49" s="25"/>
      <c r="K49" s="23">
        <v>0</v>
      </c>
      <c r="L49" s="24"/>
      <c r="M49" s="25"/>
      <c r="N49" s="23">
        <v>0</v>
      </c>
      <c r="O49" s="24"/>
      <c r="P49" s="25"/>
      <c r="Q49" s="23">
        <v>0</v>
      </c>
      <c r="R49" s="24"/>
      <c r="S49" s="25"/>
      <c r="T49" s="131">
        <f t="shared" si="2"/>
        <v>0</v>
      </c>
      <c r="U49" s="131"/>
      <c r="V49" s="131"/>
      <c r="W49" s="132">
        <f>T49/T102</f>
        <v>0</v>
      </c>
      <c r="X49" s="133">
        <f>62181+T49</f>
        <v>62181</v>
      </c>
      <c r="Y49" s="133"/>
    </row>
    <row r="50" spans="1:25" x14ac:dyDescent="0.25">
      <c r="A50" s="123" t="s">
        <v>47</v>
      </c>
      <c r="B50" s="124">
        <f>SUM(B51:D62)</f>
        <v>241215.44999999998</v>
      </c>
      <c r="C50" s="124"/>
      <c r="D50" s="124"/>
      <c r="E50" s="124">
        <f>SUM(E51:G62)</f>
        <v>3895.7200000000003</v>
      </c>
      <c r="F50" s="124"/>
      <c r="G50" s="124"/>
      <c r="H50" s="124">
        <f>SUM(H51:J62)</f>
        <v>3671.7200000000003</v>
      </c>
      <c r="I50" s="124"/>
      <c r="J50" s="124"/>
      <c r="K50" s="124">
        <f>SUM(K51:M62)</f>
        <v>3677.12</v>
      </c>
      <c r="L50" s="124"/>
      <c r="M50" s="124"/>
      <c r="N50" s="124">
        <f>SUM(N51:P62)</f>
        <v>3721.62</v>
      </c>
      <c r="O50" s="124"/>
      <c r="P50" s="124"/>
      <c r="Q50" s="124">
        <f>SUM(Q51:S62)</f>
        <v>4178.0200000000004</v>
      </c>
      <c r="R50" s="124"/>
      <c r="S50" s="124"/>
      <c r="T50" s="124">
        <f>SUM(T51:V62)</f>
        <v>19144.2</v>
      </c>
      <c r="U50" s="124"/>
      <c r="V50" s="124"/>
      <c r="W50" s="128">
        <f>T50/T102</f>
        <v>6.7509661126129369E-2</v>
      </c>
      <c r="X50" s="129">
        <f>SUM(X51:Y62)</f>
        <v>260359.65</v>
      </c>
      <c r="Y50" s="129"/>
    </row>
    <row r="51" spans="1:25" x14ac:dyDescent="0.25">
      <c r="A51" s="139" t="s">
        <v>48</v>
      </c>
      <c r="B51" s="131">
        <v>28211.279999999999</v>
      </c>
      <c r="C51" s="131"/>
      <c r="D51" s="131"/>
      <c r="E51" s="23">
        <v>0</v>
      </c>
      <c r="F51" s="24"/>
      <c r="G51" s="25"/>
      <c r="H51" s="23">
        <v>0</v>
      </c>
      <c r="I51" s="24"/>
      <c r="J51" s="25"/>
      <c r="K51" s="23">
        <v>0</v>
      </c>
      <c r="L51" s="24"/>
      <c r="M51" s="25"/>
      <c r="N51" s="23">
        <v>0</v>
      </c>
      <c r="O51" s="24"/>
      <c r="P51" s="25"/>
      <c r="Q51" s="23">
        <v>0</v>
      </c>
      <c r="R51" s="24"/>
      <c r="S51" s="25"/>
      <c r="T51" s="131">
        <f>0+E51+H51+K51+N51+Q51</f>
        <v>0</v>
      </c>
      <c r="U51" s="131"/>
      <c r="V51" s="131"/>
      <c r="W51" s="132">
        <f>T51/T102</f>
        <v>0</v>
      </c>
      <c r="X51" s="133">
        <f>28211.28+T51</f>
        <v>28211.279999999999</v>
      </c>
      <c r="Y51" s="133"/>
    </row>
    <row r="52" spans="1:25" x14ac:dyDescent="0.25">
      <c r="A52" s="130" t="s">
        <v>49</v>
      </c>
      <c r="B52" s="131">
        <v>9340</v>
      </c>
      <c r="C52" s="131"/>
      <c r="D52" s="131"/>
      <c r="E52" s="23">
        <v>0</v>
      </c>
      <c r="F52" s="24"/>
      <c r="G52" s="25"/>
      <c r="H52" s="23">
        <v>0</v>
      </c>
      <c r="I52" s="24"/>
      <c r="J52" s="25"/>
      <c r="K52" s="23">
        <v>0</v>
      </c>
      <c r="L52" s="24"/>
      <c r="M52" s="25"/>
      <c r="N52" s="23">
        <v>0</v>
      </c>
      <c r="O52" s="24"/>
      <c r="P52" s="25"/>
      <c r="Q52" s="23">
        <v>0</v>
      </c>
      <c r="R52" s="24"/>
      <c r="S52" s="25"/>
      <c r="T52" s="131">
        <f t="shared" ref="T52:T62" si="3">0+E52+H52+K52+N52+Q52</f>
        <v>0</v>
      </c>
      <c r="U52" s="131"/>
      <c r="V52" s="131"/>
      <c r="W52" s="132">
        <f>T52/T102</f>
        <v>0</v>
      </c>
      <c r="X52" s="133">
        <f>9340+T52</f>
        <v>9340</v>
      </c>
      <c r="Y52" s="133"/>
    </row>
    <row r="53" spans="1:25" x14ac:dyDescent="0.25">
      <c r="A53" s="130" t="s">
        <v>50</v>
      </c>
      <c r="B53" s="131">
        <v>16890</v>
      </c>
      <c r="C53" s="131"/>
      <c r="D53" s="131"/>
      <c r="E53" s="23">
        <f>450</f>
        <v>450</v>
      </c>
      <c r="F53" s="24"/>
      <c r="G53" s="25"/>
      <c r="H53" s="23">
        <f>450</f>
        <v>450</v>
      </c>
      <c r="I53" s="24"/>
      <c r="J53" s="25"/>
      <c r="K53" s="23">
        <f>450</f>
        <v>450</v>
      </c>
      <c r="L53" s="24"/>
      <c r="M53" s="25"/>
      <c r="N53" s="23">
        <f>450</f>
        <v>450</v>
      </c>
      <c r="O53" s="24"/>
      <c r="P53" s="25"/>
      <c r="Q53" s="23">
        <f>450</f>
        <v>450</v>
      </c>
      <c r="R53" s="24"/>
      <c r="S53" s="25"/>
      <c r="T53" s="131">
        <f t="shared" si="3"/>
        <v>2250</v>
      </c>
      <c r="U53" s="131"/>
      <c r="V53" s="131"/>
      <c r="W53" s="132">
        <f>T53/T102</f>
        <v>7.9343476109626446E-3</v>
      </c>
      <c r="X53" s="133">
        <f>16890+T53</f>
        <v>19140</v>
      </c>
      <c r="Y53" s="133"/>
    </row>
    <row r="54" spans="1:25" x14ac:dyDescent="0.25">
      <c r="A54" s="130" t="s">
        <v>51</v>
      </c>
      <c r="B54" s="131">
        <v>43576.7</v>
      </c>
      <c r="C54" s="131"/>
      <c r="D54" s="131"/>
      <c r="E54" s="23">
        <v>0</v>
      </c>
      <c r="F54" s="24"/>
      <c r="G54" s="25"/>
      <c r="H54" s="23">
        <v>0</v>
      </c>
      <c r="I54" s="24"/>
      <c r="J54" s="25"/>
      <c r="K54" s="23">
        <v>0</v>
      </c>
      <c r="L54" s="24"/>
      <c r="M54" s="25"/>
      <c r="N54" s="23">
        <v>0</v>
      </c>
      <c r="O54" s="24"/>
      <c r="P54" s="25"/>
      <c r="Q54" s="23">
        <v>0</v>
      </c>
      <c r="R54" s="24"/>
      <c r="S54" s="25"/>
      <c r="T54" s="131">
        <f t="shared" si="3"/>
        <v>0</v>
      </c>
      <c r="U54" s="131"/>
      <c r="V54" s="131"/>
      <c r="W54" s="132">
        <f>T54/T102</f>
        <v>0</v>
      </c>
      <c r="X54" s="133">
        <f>43576.7+T54</f>
        <v>43576.7</v>
      </c>
      <c r="Y54" s="133"/>
    </row>
    <row r="55" spans="1:25" x14ac:dyDescent="0.25">
      <c r="A55" s="130" t="s">
        <v>52</v>
      </c>
      <c r="B55" s="131">
        <v>96857.71</v>
      </c>
      <c r="C55" s="131"/>
      <c r="D55" s="131"/>
      <c r="E55" s="23">
        <f>2722.05</f>
        <v>2722.05</v>
      </c>
      <c r="F55" s="24"/>
      <c r="G55" s="25"/>
      <c r="H55" s="23">
        <f>2713.05</f>
        <v>2713.05</v>
      </c>
      <c r="I55" s="24"/>
      <c r="J55" s="25"/>
      <c r="K55" s="23">
        <f>2718.45</f>
        <v>2718.45</v>
      </c>
      <c r="L55" s="24"/>
      <c r="M55" s="25"/>
      <c r="N55" s="23">
        <f>2722.95</f>
        <v>2722.95</v>
      </c>
      <c r="O55" s="24"/>
      <c r="P55" s="25"/>
      <c r="Q55" s="23">
        <f>2719.35</f>
        <v>2719.35</v>
      </c>
      <c r="R55" s="24"/>
      <c r="S55" s="25"/>
      <c r="T55" s="131">
        <f t="shared" si="3"/>
        <v>13595.85</v>
      </c>
      <c r="U55" s="131"/>
      <c r="V55" s="131"/>
      <c r="W55" s="132">
        <f>T55/T102</f>
        <v>4.794408887400288E-2</v>
      </c>
      <c r="X55" s="133">
        <f>96857.71+T55</f>
        <v>110453.56000000001</v>
      </c>
      <c r="Y55" s="133"/>
    </row>
    <row r="56" spans="1:25" x14ac:dyDescent="0.25">
      <c r="A56" s="130" t="s">
        <v>53</v>
      </c>
      <c r="B56" s="131">
        <v>9150.25</v>
      </c>
      <c r="C56" s="131"/>
      <c r="D56" s="131"/>
      <c r="E56" s="23">
        <f>293.67</f>
        <v>293.67</v>
      </c>
      <c r="F56" s="24"/>
      <c r="G56" s="25"/>
      <c r="H56" s="23">
        <f>293.67</f>
        <v>293.67</v>
      </c>
      <c r="I56" s="24"/>
      <c r="J56" s="25"/>
      <c r="K56" s="23">
        <f>293.67</f>
        <v>293.67</v>
      </c>
      <c r="L56" s="24"/>
      <c r="M56" s="25"/>
      <c r="N56" s="23">
        <f>293.67</f>
        <v>293.67</v>
      </c>
      <c r="O56" s="24"/>
      <c r="P56" s="25"/>
      <c r="Q56" s="23">
        <f>293.67</f>
        <v>293.67</v>
      </c>
      <c r="R56" s="24"/>
      <c r="S56" s="25"/>
      <c r="T56" s="131">
        <f t="shared" si="3"/>
        <v>1468.3500000000001</v>
      </c>
      <c r="U56" s="131"/>
      <c r="V56" s="131"/>
      <c r="W56" s="132">
        <f>T56/T102</f>
        <v>5.1779552509142223E-3</v>
      </c>
      <c r="X56" s="133">
        <f>9150.25+T56</f>
        <v>10618.6</v>
      </c>
      <c r="Y56" s="133"/>
    </row>
    <row r="57" spans="1:25" x14ac:dyDescent="0.25">
      <c r="A57" s="130" t="s">
        <v>54</v>
      </c>
      <c r="B57" s="131">
        <v>2618.94</v>
      </c>
      <c r="C57" s="131"/>
      <c r="D57" s="131"/>
      <c r="E57" s="23">
        <f>215+215</f>
        <v>430</v>
      </c>
      <c r="F57" s="24"/>
      <c r="G57" s="25"/>
      <c r="H57" s="23">
        <f>215</f>
        <v>215</v>
      </c>
      <c r="I57" s="24"/>
      <c r="J57" s="25"/>
      <c r="K57" s="23">
        <f>215</f>
        <v>215</v>
      </c>
      <c r="L57" s="24"/>
      <c r="M57" s="25"/>
      <c r="N57" s="23">
        <f>215</f>
        <v>215</v>
      </c>
      <c r="O57" s="24"/>
      <c r="P57" s="25"/>
      <c r="Q57" s="23">
        <f>215</f>
        <v>215</v>
      </c>
      <c r="R57" s="24"/>
      <c r="S57" s="25"/>
      <c r="T57" s="131">
        <f t="shared" si="3"/>
        <v>1290</v>
      </c>
      <c r="U57" s="131"/>
      <c r="V57" s="131"/>
      <c r="W57" s="132">
        <f>T57/T102</f>
        <v>4.5490259636185833E-3</v>
      </c>
      <c r="X57" s="133">
        <f>2618.94+T57</f>
        <v>3908.94</v>
      </c>
      <c r="Y57" s="133"/>
    </row>
    <row r="58" spans="1:25" x14ac:dyDescent="0.25">
      <c r="A58" s="130" t="s">
        <v>55</v>
      </c>
      <c r="B58" s="131">
        <v>25282.46</v>
      </c>
      <c r="C58" s="131"/>
      <c r="D58" s="131"/>
      <c r="E58" s="23">
        <v>0</v>
      </c>
      <c r="F58" s="24"/>
      <c r="G58" s="25"/>
      <c r="H58" s="23">
        <v>0</v>
      </c>
      <c r="I58" s="24"/>
      <c r="J58" s="25"/>
      <c r="K58" s="23">
        <v>0</v>
      </c>
      <c r="L58" s="24"/>
      <c r="M58" s="25"/>
      <c r="N58" s="23">
        <v>0</v>
      </c>
      <c r="O58" s="24"/>
      <c r="P58" s="25"/>
      <c r="Q58" s="23">
        <f>500</f>
        <v>500</v>
      </c>
      <c r="R58" s="24"/>
      <c r="S58" s="25"/>
      <c r="T58" s="131">
        <f t="shared" si="3"/>
        <v>500</v>
      </c>
      <c r="U58" s="131"/>
      <c r="V58" s="131"/>
      <c r="W58" s="132">
        <f>T58/T102</f>
        <v>1.7631883579916987E-3</v>
      </c>
      <c r="X58" s="133">
        <f>25282.46+T58</f>
        <v>25782.46</v>
      </c>
      <c r="Y58" s="133"/>
    </row>
    <row r="59" spans="1:25" x14ac:dyDescent="0.25">
      <c r="A59" s="130" t="s">
        <v>56</v>
      </c>
      <c r="B59" s="131">
        <v>1500</v>
      </c>
      <c r="C59" s="131"/>
      <c r="D59" s="131"/>
      <c r="E59" s="23">
        <v>0</v>
      </c>
      <c r="F59" s="24"/>
      <c r="G59" s="25"/>
      <c r="H59" s="23">
        <v>0</v>
      </c>
      <c r="I59" s="24"/>
      <c r="J59" s="25"/>
      <c r="K59" s="23">
        <v>0</v>
      </c>
      <c r="L59" s="24"/>
      <c r="M59" s="25"/>
      <c r="N59" s="23">
        <v>0</v>
      </c>
      <c r="O59" s="24"/>
      <c r="P59" s="25"/>
      <c r="Q59" s="23">
        <v>0</v>
      </c>
      <c r="R59" s="24"/>
      <c r="S59" s="25"/>
      <c r="T59" s="131">
        <f t="shared" si="3"/>
        <v>0</v>
      </c>
      <c r="U59" s="131"/>
      <c r="V59" s="131"/>
      <c r="W59" s="132">
        <f>T59/T102</f>
        <v>0</v>
      </c>
      <c r="X59" s="133">
        <f>1500+T59</f>
        <v>1500</v>
      </c>
      <c r="Y59" s="133"/>
    </row>
    <row r="60" spans="1:25" x14ac:dyDescent="0.25">
      <c r="A60" s="130" t="s">
        <v>57</v>
      </c>
      <c r="B60" s="131">
        <v>5618.11</v>
      </c>
      <c r="C60" s="131"/>
      <c r="D60" s="131"/>
      <c r="E60" s="23">
        <v>0</v>
      </c>
      <c r="F60" s="24"/>
      <c r="G60" s="25"/>
      <c r="H60" s="23">
        <v>0</v>
      </c>
      <c r="I60" s="24"/>
      <c r="J60" s="25"/>
      <c r="K60" s="23">
        <v>0</v>
      </c>
      <c r="L60" s="24"/>
      <c r="M60" s="25"/>
      <c r="N60" s="23">
        <v>0</v>
      </c>
      <c r="O60" s="24"/>
      <c r="P60" s="25"/>
      <c r="Q60" s="23">
        <v>0</v>
      </c>
      <c r="R60" s="24"/>
      <c r="S60" s="25"/>
      <c r="T60" s="131">
        <f t="shared" si="3"/>
        <v>0</v>
      </c>
      <c r="U60" s="131"/>
      <c r="V60" s="131"/>
      <c r="W60" s="132">
        <f>T60/T102</f>
        <v>0</v>
      </c>
      <c r="X60" s="133">
        <f>5618.11+T60</f>
        <v>5618.11</v>
      </c>
      <c r="Y60" s="133"/>
    </row>
    <row r="61" spans="1:25" x14ac:dyDescent="0.25">
      <c r="A61" s="130" t="s">
        <v>58</v>
      </c>
      <c r="B61" s="131">
        <v>0</v>
      </c>
      <c r="C61" s="131"/>
      <c r="D61" s="131"/>
      <c r="E61" s="23">
        <v>0</v>
      </c>
      <c r="F61" s="24"/>
      <c r="G61" s="25"/>
      <c r="H61" s="23">
        <v>0</v>
      </c>
      <c r="I61" s="24"/>
      <c r="J61" s="25"/>
      <c r="K61" s="23">
        <v>0</v>
      </c>
      <c r="L61" s="24"/>
      <c r="M61" s="25"/>
      <c r="N61" s="23">
        <f>40</f>
        <v>40</v>
      </c>
      <c r="O61" s="24"/>
      <c r="P61" s="25"/>
      <c r="Q61" s="23">
        <v>0</v>
      </c>
      <c r="R61" s="24"/>
      <c r="S61" s="25"/>
      <c r="T61" s="131">
        <f t="shared" si="3"/>
        <v>40</v>
      </c>
      <c r="U61" s="131"/>
      <c r="V61" s="131"/>
      <c r="W61" s="132">
        <f>T61/T102</f>
        <v>1.410550686393359E-4</v>
      </c>
      <c r="X61" s="133">
        <f t="shared" ref="X61" si="4">0+T61</f>
        <v>40</v>
      </c>
      <c r="Y61" s="133"/>
    </row>
    <row r="62" spans="1:25" x14ac:dyDescent="0.25">
      <c r="A62" s="130" t="s">
        <v>59</v>
      </c>
      <c r="B62" s="131">
        <v>2170</v>
      </c>
      <c r="C62" s="131"/>
      <c r="D62" s="131"/>
      <c r="E62" s="23">
        <v>0</v>
      </c>
      <c r="F62" s="24"/>
      <c r="G62" s="25"/>
      <c r="H62" s="23">
        <v>0</v>
      </c>
      <c r="I62" s="24"/>
      <c r="J62" s="25"/>
      <c r="K62" s="23">
        <v>0</v>
      </c>
      <c r="L62" s="24"/>
      <c r="M62" s="25"/>
      <c r="N62" s="23">
        <v>0</v>
      </c>
      <c r="O62" s="24"/>
      <c r="P62" s="25"/>
      <c r="Q62" s="23">
        <v>0</v>
      </c>
      <c r="R62" s="24"/>
      <c r="S62" s="25"/>
      <c r="T62" s="131">
        <f t="shared" si="3"/>
        <v>0</v>
      </c>
      <c r="U62" s="131"/>
      <c r="V62" s="131"/>
      <c r="W62" s="132">
        <f>T62/T102</f>
        <v>0</v>
      </c>
      <c r="X62" s="133">
        <f>2170+T62</f>
        <v>2170</v>
      </c>
      <c r="Y62" s="133"/>
    </row>
    <row r="63" spans="1:25" x14ac:dyDescent="0.25">
      <c r="A63" s="123" t="s">
        <v>60</v>
      </c>
      <c r="B63" s="124">
        <f>SUM(B64:D67)</f>
        <v>192764.56999999998</v>
      </c>
      <c r="C63" s="124"/>
      <c r="D63" s="124"/>
      <c r="E63" s="125">
        <f>SUM(E64:G67)</f>
        <v>13428.149999999998</v>
      </c>
      <c r="F63" s="126"/>
      <c r="G63" s="127"/>
      <c r="H63" s="125">
        <f>SUM(H64:J67)</f>
        <v>12011.390000000001</v>
      </c>
      <c r="I63" s="126"/>
      <c r="J63" s="127"/>
      <c r="K63" s="125">
        <f>SUM(K64:M67)</f>
        <v>1386.5400000000002</v>
      </c>
      <c r="L63" s="126"/>
      <c r="M63" s="127"/>
      <c r="N63" s="125">
        <f>SUM(N64:P67)</f>
        <v>13324.27</v>
      </c>
      <c r="O63" s="126"/>
      <c r="P63" s="127"/>
      <c r="Q63" s="125">
        <f>SUM(Q64:S67)</f>
        <v>3314.84</v>
      </c>
      <c r="R63" s="126"/>
      <c r="S63" s="127"/>
      <c r="T63" s="140">
        <f>SUM(T64:V67)</f>
        <v>43465.189999999995</v>
      </c>
      <c r="U63" s="141"/>
      <c r="V63" s="142"/>
      <c r="W63" s="128">
        <f>T63/T102</f>
        <v>0.15327463397179439</v>
      </c>
      <c r="X63" s="129">
        <f>SUM(X64:Y67)</f>
        <v>236229.75999999998</v>
      </c>
      <c r="Y63" s="129"/>
    </row>
    <row r="64" spans="1:25" x14ac:dyDescent="0.25">
      <c r="A64" s="130" t="s">
        <v>61</v>
      </c>
      <c r="B64" s="131">
        <v>120948.56</v>
      </c>
      <c r="C64" s="131"/>
      <c r="D64" s="131"/>
      <c r="E64" s="23">
        <f>9.5+9.5+39.8+9.5+11623.59+3.98+42+1+1+9.5</f>
        <v>11749.369999999999</v>
      </c>
      <c r="F64" s="24"/>
      <c r="G64" s="25"/>
      <c r="H64" s="23">
        <f>89.55+9.5+9.5+45.77+42+11502.2+27.86</f>
        <v>11726.380000000001</v>
      </c>
      <c r="I64" s="24"/>
      <c r="J64" s="25"/>
      <c r="K64" s="23">
        <f>9.5+7.96+9.5+9.5+9.5+11.94+145.27+9.5+250.74+42+1.99+9.5</f>
        <v>516.90000000000009</v>
      </c>
      <c r="L64" s="24"/>
      <c r="M64" s="25"/>
      <c r="N64" s="23">
        <f>11851.69</f>
        <v>11851.69</v>
      </c>
      <c r="O64" s="24"/>
      <c r="P64" s="25"/>
      <c r="Q64" s="23">
        <f>9.95+10+10+15.92+36.5+10+13.93+69.65</f>
        <v>175.95000000000002</v>
      </c>
      <c r="R64" s="24"/>
      <c r="S64" s="25"/>
      <c r="T64" s="131">
        <f>0+E64+H64+K64+N64+Q64</f>
        <v>36020.29</v>
      </c>
      <c r="U64" s="131"/>
      <c r="V64" s="131"/>
      <c r="W64" s="132">
        <f>T64/T102</f>
        <v>0.12702111195896962</v>
      </c>
      <c r="X64" s="133">
        <f>120948.56+T64</f>
        <v>156968.85</v>
      </c>
      <c r="Y64" s="133"/>
    </row>
    <row r="65" spans="1:25" x14ac:dyDescent="0.25">
      <c r="A65" s="130" t="s">
        <v>62</v>
      </c>
      <c r="B65" s="131">
        <v>47642.8</v>
      </c>
      <c r="C65" s="131"/>
      <c r="D65" s="131"/>
      <c r="E65" s="23">
        <f>77.46+240.13+70.87+219.71+77.46+70.87+240.13+219.71+203.66+203.66</f>
        <v>1623.66</v>
      </c>
      <c r="F65" s="24"/>
      <c r="G65" s="25"/>
      <c r="H65" s="23">
        <f>113.42+94.16</f>
        <v>207.57999999999998</v>
      </c>
      <c r="I65" s="24"/>
      <c r="J65" s="25"/>
      <c r="K65" s="23">
        <f>67.5+77.46+209.25+159.05+252.91</f>
        <v>766.17</v>
      </c>
      <c r="L65" s="24"/>
      <c r="M65" s="25"/>
      <c r="N65" s="23">
        <f>240.13+209.25+77.46+67.5+252.91</f>
        <v>847.25</v>
      </c>
      <c r="O65" s="24"/>
      <c r="P65" s="25"/>
      <c r="Q65" s="23">
        <f>209.25+67.5+240.13+77.46+252.91</f>
        <v>847.25</v>
      </c>
      <c r="R65" s="24"/>
      <c r="S65" s="25"/>
      <c r="T65" s="131">
        <f t="shared" ref="T65:T67" si="5">0+E65+H65+K65+N65+Q65</f>
        <v>4291.91</v>
      </c>
      <c r="U65" s="131"/>
      <c r="V65" s="131"/>
      <c r="W65" s="132">
        <f>T65/T102</f>
        <v>1.5134891491096304E-2</v>
      </c>
      <c r="X65" s="133">
        <f>47642.8+T65</f>
        <v>51934.710000000006</v>
      </c>
      <c r="Y65" s="133"/>
    </row>
    <row r="66" spans="1:25" x14ac:dyDescent="0.25">
      <c r="A66" s="130" t="s">
        <v>63</v>
      </c>
      <c r="B66" s="131">
        <v>24147.84</v>
      </c>
      <c r="C66" s="131"/>
      <c r="D66" s="131"/>
      <c r="E66" s="23">
        <f>48.46</f>
        <v>48.46</v>
      </c>
      <c r="F66" s="24"/>
      <c r="G66" s="25"/>
      <c r="H66" s="23">
        <f>72.49</f>
        <v>72.489999999999995</v>
      </c>
      <c r="I66" s="24"/>
      <c r="J66" s="25"/>
      <c r="K66" s="23">
        <f>103.47</f>
        <v>103.47</v>
      </c>
      <c r="L66" s="24"/>
      <c r="M66" s="25"/>
      <c r="N66" s="23">
        <f>163</f>
        <v>163</v>
      </c>
      <c r="O66" s="24"/>
      <c r="P66" s="25"/>
      <c r="Q66" s="23">
        <f>808.1+1448.28+35.26</f>
        <v>2291.6400000000003</v>
      </c>
      <c r="R66" s="24"/>
      <c r="S66" s="25"/>
      <c r="T66" s="131">
        <f t="shared" si="5"/>
        <v>2679.0600000000004</v>
      </c>
      <c r="U66" s="131"/>
      <c r="V66" s="131"/>
      <c r="W66" s="132">
        <f>T66/T102</f>
        <v>9.4473748047224828E-3</v>
      </c>
      <c r="X66" s="133">
        <f>24147.84+T66</f>
        <v>26826.9</v>
      </c>
      <c r="Y66" s="133"/>
    </row>
    <row r="67" spans="1:25" x14ac:dyDescent="0.25">
      <c r="A67" s="130" t="s">
        <v>64</v>
      </c>
      <c r="B67" s="131">
        <v>25.37</v>
      </c>
      <c r="C67" s="131"/>
      <c r="D67" s="131"/>
      <c r="E67" s="23">
        <f>6.66</f>
        <v>6.66</v>
      </c>
      <c r="F67" s="24"/>
      <c r="G67" s="25"/>
      <c r="H67" s="23">
        <f>1.37+1.09+2.48</f>
        <v>4.9399999999999995</v>
      </c>
      <c r="I67" s="24"/>
      <c r="J67" s="25"/>
      <c r="K67" s="23">
        <v>0</v>
      </c>
      <c r="L67" s="24"/>
      <c r="M67" s="25"/>
      <c r="N67" s="23">
        <f>462.33</f>
        <v>462.33</v>
      </c>
      <c r="O67" s="24"/>
      <c r="P67" s="25"/>
      <c r="Q67" s="23">
        <v>0</v>
      </c>
      <c r="R67" s="24"/>
      <c r="S67" s="25"/>
      <c r="T67" s="131">
        <f t="shared" si="5"/>
        <v>473.93</v>
      </c>
      <c r="U67" s="131"/>
      <c r="V67" s="131"/>
      <c r="W67" s="132">
        <f>T67/T102</f>
        <v>1.6712557170060116E-3</v>
      </c>
      <c r="X67" s="133">
        <f>25.37+T67</f>
        <v>499.3</v>
      </c>
      <c r="Y67" s="133"/>
    </row>
    <row r="68" spans="1:25" x14ac:dyDescent="0.25">
      <c r="A68" s="123" t="s">
        <v>65</v>
      </c>
      <c r="B68" s="124">
        <f>SUM(B69:D82)</f>
        <v>379800.62</v>
      </c>
      <c r="C68" s="124"/>
      <c r="D68" s="124"/>
      <c r="E68" s="125">
        <f>SUM(E69:G82)</f>
        <v>11747.81</v>
      </c>
      <c r="F68" s="126"/>
      <c r="G68" s="127"/>
      <c r="H68" s="125">
        <f>SUM(H69:J82)</f>
        <v>9765.11</v>
      </c>
      <c r="I68" s="126"/>
      <c r="J68" s="127"/>
      <c r="K68" s="125">
        <f>SUM(K69:M82)</f>
        <v>11378.32</v>
      </c>
      <c r="L68" s="126"/>
      <c r="M68" s="127"/>
      <c r="N68" s="125">
        <f>SUM(N69:P82)</f>
        <v>10209.619999999999</v>
      </c>
      <c r="O68" s="126"/>
      <c r="P68" s="127"/>
      <c r="Q68" s="125">
        <f>SUM(Q69:S82)</f>
        <v>10249.41</v>
      </c>
      <c r="R68" s="126"/>
      <c r="S68" s="127"/>
      <c r="T68" s="140">
        <f>SUM(T69:V82)</f>
        <v>53350.27</v>
      </c>
      <c r="U68" s="141"/>
      <c r="V68" s="142"/>
      <c r="W68" s="128">
        <f>T68/T102</f>
        <v>0.18813314991942756</v>
      </c>
      <c r="X68" s="129">
        <f>SUM(X69:Y82)</f>
        <v>433150.89</v>
      </c>
      <c r="Y68" s="129"/>
    </row>
    <row r="69" spans="1:25" x14ac:dyDescent="0.25">
      <c r="A69" s="139" t="s">
        <v>66</v>
      </c>
      <c r="B69" s="131">
        <v>9608.91</v>
      </c>
      <c r="C69" s="131"/>
      <c r="D69" s="131"/>
      <c r="E69" s="23">
        <v>0</v>
      </c>
      <c r="F69" s="24"/>
      <c r="G69" s="25"/>
      <c r="H69" s="23">
        <v>0</v>
      </c>
      <c r="I69" s="24"/>
      <c r="J69" s="25"/>
      <c r="K69" s="23">
        <v>0</v>
      </c>
      <c r="L69" s="24"/>
      <c r="M69" s="25"/>
      <c r="N69" s="23">
        <v>0</v>
      </c>
      <c r="O69" s="24"/>
      <c r="P69" s="25"/>
      <c r="Q69" s="23">
        <v>0</v>
      </c>
      <c r="R69" s="24"/>
      <c r="S69" s="25"/>
      <c r="T69" s="131">
        <f>0+E69+H69+K69+N69+Q69</f>
        <v>0</v>
      </c>
      <c r="U69" s="131"/>
      <c r="V69" s="131"/>
      <c r="W69" s="132">
        <f>T69/T102</f>
        <v>0</v>
      </c>
      <c r="X69" s="133">
        <f>9608.91+T69</f>
        <v>9608.91</v>
      </c>
      <c r="Y69" s="133"/>
    </row>
    <row r="70" spans="1:25" x14ac:dyDescent="0.25">
      <c r="A70" s="139" t="s">
        <v>67</v>
      </c>
      <c r="B70" s="131">
        <v>9110</v>
      </c>
      <c r="C70" s="131"/>
      <c r="D70" s="131"/>
      <c r="E70" s="23">
        <v>0</v>
      </c>
      <c r="F70" s="24"/>
      <c r="G70" s="25"/>
      <c r="H70" s="23">
        <v>0</v>
      </c>
      <c r="I70" s="24"/>
      <c r="J70" s="25"/>
      <c r="K70" s="23">
        <v>0</v>
      </c>
      <c r="L70" s="24"/>
      <c r="M70" s="25"/>
      <c r="N70" s="23">
        <v>0</v>
      </c>
      <c r="O70" s="24"/>
      <c r="P70" s="25"/>
      <c r="Q70" s="23">
        <v>0</v>
      </c>
      <c r="R70" s="24"/>
      <c r="S70" s="25"/>
      <c r="T70" s="131">
        <f t="shared" ref="T70:T79" si="6">0+E70+H70+K70+N70+Q70</f>
        <v>0</v>
      </c>
      <c r="U70" s="131"/>
      <c r="V70" s="131"/>
      <c r="W70" s="132">
        <f>T70/T102</f>
        <v>0</v>
      </c>
      <c r="X70" s="133">
        <f>9110+T70</f>
        <v>9110</v>
      </c>
      <c r="Y70" s="133"/>
    </row>
    <row r="71" spans="1:25" x14ac:dyDescent="0.25">
      <c r="A71" s="139" t="s">
        <v>68</v>
      </c>
      <c r="B71" s="131">
        <v>4130.22</v>
      </c>
      <c r="C71" s="131"/>
      <c r="D71" s="131"/>
      <c r="E71" s="23">
        <f>271.63</f>
        <v>271.63</v>
      </c>
      <c r="F71" s="24"/>
      <c r="G71" s="25"/>
      <c r="H71" s="23">
        <f>271.63+1285.2</f>
        <v>1556.83</v>
      </c>
      <c r="I71" s="24"/>
      <c r="J71" s="25"/>
      <c r="K71" s="23">
        <f>271.63</f>
        <v>271.63</v>
      </c>
      <c r="L71" s="24"/>
      <c r="M71" s="25"/>
      <c r="N71" s="23">
        <v>0</v>
      </c>
      <c r="O71" s="24"/>
      <c r="P71" s="25"/>
      <c r="Q71" s="23">
        <v>0</v>
      </c>
      <c r="R71" s="24"/>
      <c r="S71" s="25"/>
      <c r="T71" s="131">
        <f t="shared" si="6"/>
        <v>2100.09</v>
      </c>
      <c r="U71" s="131"/>
      <c r="V71" s="131"/>
      <c r="W71" s="132">
        <f>T71/T102</f>
        <v>7.4057084774695739E-3</v>
      </c>
      <c r="X71" s="133">
        <f>4130.22+T71</f>
        <v>6230.31</v>
      </c>
      <c r="Y71" s="133"/>
    </row>
    <row r="72" spans="1:25" x14ac:dyDescent="0.25">
      <c r="A72" s="139" t="s">
        <v>69</v>
      </c>
      <c r="B72" s="28">
        <v>0</v>
      </c>
      <c r="C72" s="29"/>
      <c r="D72" s="30"/>
      <c r="E72" s="23">
        <v>0</v>
      </c>
      <c r="F72" s="24"/>
      <c r="G72" s="25"/>
      <c r="H72" s="23">
        <v>99</v>
      </c>
      <c r="I72" s="24"/>
      <c r="J72" s="25"/>
      <c r="K72" s="23">
        <v>0</v>
      </c>
      <c r="L72" s="24"/>
      <c r="M72" s="25"/>
      <c r="N72" s="23">
        <v>0</v>
      </c>
      <c r="O72" s="24"/>
      <c r="P72" s="25"/>
      <c r="Q72" s="23">
        <v>0</v>
      </c>
      <c r="R72" s="24"/>
      <c r="S72" s="25"/>
      <c r="T72" s="131">
        <f t="shared" si="6"/>
        <v>99</v>
      </c>
      <c r="U72" s="131"/>
      <c r="V72" s="131"/>
      <c r="W72" s="132">
        <f>T72/T102</f>
        <v>3.4911129488235637E-4</v>
      </c>
      <c r="X72" s="135">
        <f>0+T72</f>
        <v>99</v>
      </c>
      <c r="Y72" s="137"/>
    </row>
    <row r="73" spans="1:25" x14ac:dyDescent="0.25">
      <c r="A73" s="130" t="s">
        <v>70</v>
      </c>
      <c r="B73" s="131">
        <v>6043.01</v>
      </c>
      <c r="C73" s="131"/>
      <c r="D73" s="131"/>
      <c r="E73" s="23">
        <f>191.6+35.42</f>
        <v>227.01999999999998</v>
      </c>
      <c r="F73" s="24"/>
      <c r="G73" s="25"/>
      <c r="H73" s="23">
        <f>51.3</f>
        <v>51.3</v>
      </c>
      <c r="I73" s="24"/>
      <c r="J73" s="25"/>
      <c r="K73" s="23">
        <v>0</v>
      </c>
      <c r="L73" s="24"/>
      <c r="M73" s="25"/>
      <c r="N73" s="23">
        <v>0</v>
      </c>
      <c r="O73" s="24"/>
      <c r="P73" s="25"/>
      <c r="Q73" s="23">
        <f>43.8</f>
        <v>43.8</v>
      </c>
      <c r="R73" s="24"/>
      <c r="S73" s="25"/>
      <c r="T73" s="131">
        <f t="shared" si="6"/>
        <v>322.12</v>
      </c>
      <c r="U73" s="131"/>
      <c r="V73" s="131"/>
      <c r="W73" s="132">
        <f>T73/T102</f>
        <v>1.135916467752572E-3</v>
      </c>
      <c r="X73" s="133">
        <f>6043.01+T73</f>
        <v>6365.13</v>
      </c>
      <c r="Y73" s="133"/>
    </row>
    <row r="74" spans="1:25" x14ac:dyDescent="0.25">
      <c r="A74" s="139" t="s">
        <v>71</v>
      </c>
      <c r="B74" s="131">
        <v>53374.36</v>
      </c>
      <c r="C74" s="131"/>
      <c r="D74" s="131"/>
      <c r="E74" s="23">
        <f>1263.86+290.51</f>
        <v>1554.37</v>
      </c>
      <c r="F74" s="24"/>
      <c r="G74" s="25"/>
      <c r="H74" s="23">
        <f>1413.96+54.44</f>
        <v>1468.4</v>
      </c>
      <c r="I74" s="24"/>
      <c r="J74" s="25"/>
      <c r="K74" s="23">
        <f>1413.96+54.26</f>
        <v>1468.22</v>
      </c>
      <c r="L74" s="24"/>
      <c r="M74" s="25"/>
      <c r="N74" s="23">
        <f>1414.91+54.37</f>
        <v>1469.28</v>
      </c>
      <c r="O74" s="24"/>
      <c r="P74" s="25"/>
      <c r="Q74" s="23">
        <f>1416.52+54.46</f>
        <v>1470.98</v>
      </c>
      <c r="R74" s="24"/>
      <c r="S74" s="25"/>
      <c r="T74" s="131">
        <f t="shared" si="6"/>
        <v>7431.25</v>
      </c>
      <c r="U74" s="131"/>
      <c r="V74" s="131"/>
      <c r="W74" s="132">
        <f>T74/T102</f>
        <v>2.6205386970651622E-2</v>
      </c>
      <c r="X74" s="133">
        <f>53374.36+T74</f>
        <v>60805.61</v>
      </c>
      <c r="Y74" s="133"/>
    </row>
    <row r="75" spans="1:25" x14ac:dyDescent="0.25">
      <c r="A75" s="139" t="s">
        <v>72</v>
      </c>
      <c r="B75" s="131">
        <v>13234.67</v>
      </c>
      <c r="C75" s="131"/>
      <c r="D75" s="131"/>
      <c r="E75" s="23">
        <f>114.99+49.99+154.41</f>
        <v>319.39</v>
      </c>
      <c r="F75" s="24"/>
      <c r="G75" s="25"/>
      <c r="H75" s="23">
        <f>114.99+49.99+155.27</f>
        <v>320.25</v>
      </c>
      <c r="I75" s="24"/>
      <c r="J75" s="25"/>
      <c r="K75" s="23">
        <f>49.99+114.99+149.34</f>
        <v>314.32</v>
      </c>
      <c r="L75" s="24"/>
      <c r="M75" s="25"/>
      <c r="N75" s="23">
        <f>52.23+114.99+116.06</f>
        <v>283.27999999999997</v>
      </c>
      <c r="O75" s="24"/>
      <c r="P75" s="25"/>
      <c r="Q75" s="23">
        <f>52.23+114.99</f>
        <v>167.22</v>
      </c>
      <c r="R75" s="24"/>
      <c r="S75" s="25"/>
      <c r="T75" s="131">
        <f t="shared" si="6"/>
        <v>1404.46</v>
      </c>
      <c r="U75" s="131"/>
      <c r="V75" s="131"/>
      <c r="W75" s="132">
        <f>T75/T102</f>
        <v>4.9526550425300431E-3</v>
      </c>
      <c r="X75" s="133">
        <f>13234.67+T75</f>
        <v>14639.130000000001</v>
      </c>
      <c r="Y75" s="133"/>
    </row>
    <row r="76" spans="1:25" x14ac:dyDescent="0.25">
      <c r="A76" s="139" t="s">
        <v>73</v>
      </c>
      <c r="B76" s="131">
        <v>7492.77</v>
      </c>
      <c r="C76" s="131"/>
      <c r="D76" s="131"/>
      <c r="E76" s="23">
        <f>23+11.39+23+23+11.39</f>
        <v>91.78</v>
      </c>
      <c r="F76" s="24"/>
      <c r="G76" s="25"/>
      <c r="H76" s="23">
        <f>10.8+23+23+26.9</f>
        <v>83.699999999999989</v>
      </c>
      <c r="I76" s="24"/>
      <c r="J76" s="25"/>
      <c r="K76" s="23">
        <f>23+23</f>
        <v>46</v>
      </c>
      <c r="L76" s="24"/>
      <c r="M76" s="25"/>
      <c r="N76" s="23">
        <v>0</v>
      </c>
      <c r="O76" s="24"/>
      <c r="P76" s="25"/>
      <c r="Q76" s="23">
        <v>0</v>
      </c>
      <c r="R76" s="24"/>
      <c r="S76" s="25"/>
      <c r="T76" s="131">
        <f t="shared" si="6"/>
        <v>221.48</v>
      </c>
      <c r="U76" s="131"/>
      <c r="V76" s="131"/>
      <c r="W76" s="132">
        <f>T76/T102</f>
        <v>7.8102191505600288E-4</v>
      </c>
      <c r="X76" s="133">
        <f>7492.77+T76</f>
        <v>7714.25</v>
      </c>
      <c r="Y76" s="133"/>
    </row>
    <row r="77" spans="1:25" x14ac:dyDescent="0.25">
      <c r="A77" s="139" t="s">
        <v>74</v>
      </c>
      <c r="B77" s="131">
        <v>4171.6000000000004</v>
      </c>
      <c r="C77" s="131"/>
      <c r="D77" s="131"/>
      <c r="E77" s="23">
        <v>0</v>
      </c>
      <c r="F77" s="24"/>
      <c r="G77" s="25"/>
      <c r="H77" s="23">
        <v>0</v>
      </c>
      <c r="I77" s="24"/>
      <c r="J77" s="25"/>
      <c r="K77" s="23">
        <v>0</v>
      </c>
      <c r="L77" s="24"/>
      <c r="M77" s="25"/>
      <c r="N77" s="23">
        <v>0</v>
      </c>
      <c r="O77" s="24"/>
      <c r="P77" s="25"/>
      <c r="Q77" s="23">
        <v>0</v>
      </c>
      <c r="R77" s="24"/>
      <c r="S77" s="25"/>
      <c r="T77" s="131">
        <f t="shared" si="6"/>
        <v>0</v>
      </c>
      <c r="U77" s="131"/>
      <c r="V77" s="131"/>
      <c r="W77" s="132">
        <f>T77/T102</f>
        <v>0</v>
      </c>
      <c r="X77" s="133">
        <f>4171.6+T77</f>
        <v>4171.6000000000004</v>
      </c>
      <c r="Y77" s="133"/>
    </row>
    <row r="78" spans="1:25" x14ac:dyDescent="0.25">
      <c r="A78" s="139" t="s">
        <v>75</v>
      </c>
      <c r="B78" s="131">
        <v>3563.88</v>
      </c>
      <c r="C78" s="131"/>
      <c r="D78" s="131"/>
      <c r="E78" s="23">
        <f>4.99+32.58+19.77+100</f>
        <v>157.34</v>
      </c>
      <c r="F78" s="24"/>
      <c r="G78" s="25"/>
      <c r="H78" s="23">
        <f>27.9</f>
        <v>27.9</v>
      </c>
      <c r="I78" s="24"/>
      <c r="J78" s="25"/>
      <c r="K78" s="23">
        <v>0</v>
      </c>
      <c r="L78" s="24"/>
      <c r="M78" s="25"/>
      <c r="N78" s="23">
        <v>0</v>
      </c>
      <c r="O78" s="24"/>
      <c r="P78" s="25"/>
      <c r="Q78" s="23">
        <v>0</v>
      </c>
      <c r="R78" s="24"/>
      <c r="S78" s="25"/>
      <c r="T78" s="131">
        <f t="shared" si="6"/>
        <v>185.24</v>
      </c>
      <c r="U78" s="131"/>
      <c r="V78" s="131"/>
      <c r="W78" s="132">
        <f>T78/T102</f>
        <v>6.5322602286876463E-4</v>
      </c>
      <c r="X78" s="133">
        <f>3563.88+T78</f>
        <v>3749.12</v>
      </c>
      <c r="Y78" s="133"/>
    </row>
    <row r="79" spans="1:25" x14ac:dyDescent="0.25">
      <c r="A79" s="139" t="s">
        <v>76</v>
      </c>
      <c r="B79" s="28">
        <v>0</v>
      </c>
      <c r="C79" s="29"/>
      <c r="D79" s="30"/>
      <c r="E79" s="23">
        <f>2359.55</f>
        <v>2359.5500000000002</v>
      </c>
      <c r="F79" s="24"/>
      <c r="G79" s="25"/>
      <c r="H79" s="23">
        <v>0</v>
      </c>
      <c r="I79" s="24"/>
      <c r="J79" s="25"/>
      <c r="K79" s="23">
        <v>0</v>
      </c>
      <c r="L79" s="24"/>
      <c r="M79" s="25"/>
      <c r="N79" s="23">
        <v>0</v>
      </c>
      <c r="O79" s="24"/>
      <c r="P79" s="25"/>
      <c r="Q79" s="23">
        <v>0</v>
      </c>
      <c r="R79" s="24"/>
      <c r="S79" s="25"/>
      <c r="T79" s="131">
        <f t="shared" si="6"/>
        <v>2359.5500000000002</v>
      </c>
      <c r="U79" s="131"/>
      <c r="V79" s="131"/>
      <c r="W79" s="132">
        <f>T79/T102</f>
        <v>8.3206621801986264E-3</v>
      </c>
      <c r="X79" s="133">
        <f>0+T79</f>
        <v>2359.5500000000002</v>
      </c>
      <c r="Y79" s="133"/>
    </row>
    <row r="80" spans="1:25" x14ac:dyDescent="0.25">
      <c r="A80" s="139" t="s">
        <v>77</v>
      </c>
      <c r="B80" s="131">
        <v>2056.7600000000002</v>
      </c>
      <c r="C80" s="131"/>
      <c r="D80" s="131"/>
      <c r="E80" s="23">
        <v>0</v>
      </c>
      <c r="F80" s="24"/>
      <c r="G80" s="25"/>
      <c r="H80" s="23">
        <v>0</v>
      </c>
      <c r="I80" s="24"/>
      <c r="J80" s="25"/>
      <c r="K80" s="23">
        <v>0</v>
      </c>
      <c r="L80" s="24"/>
      <c r="M80" s="25"/>
      <c r="N80" s="23">
        <v>0</v>
      </c>
      <c r="O80" s="24"/>
      <c r="P80" s="25"/>
      <c r="Q80" s="23">
        <v>0</v>
      </c>
      <c r="R80" s="24"/>
      <c r="S80" s="25"/>
      <c r="T80" s="131">
        <f>0+E80+H80+K80+N80+Q80</f>
        <v>0</v>
      </c>
      <c r="U80" s="131"/>
      <c r="V80" s="131"/>
      <c r="W80" s="132">
        <f>T80/T102</f>
        <v>0</v>
      </c>
      <c r="X80" s="133">
        <f>2056.76+T80</f>
        <v>2056.7600000000002</v>
      </c>
      <c r="Y80" s="133"/>
    </row>
    <row r="81" spans="1:25" x14ac:dyDescent="0.25">
      <c r="A81" s="139" t="s">
        <v>78</v>
      </c>
      <c r="B81" s="131">
        <v>147202.01999999999</v>
      </c>
      <c r="C81" s="131"/>
      <c r="D81" s="131"/>
      <c r="E81" s="23">
        <f>1386.11+400</f>
        <v>1786.11</v>
      </c>
      <c r="F81" s="24"/>
      <c r="G81" s="25"/>
      <c r="H81" s="23">
        <f>600+1904.25+2113.13</f>
        <v>4617.38</v>
      </c>
      <c r="I81" s="24"/>
      <c r="J81" s="25"/>
      <c r="K81" s="23">
        <f>600+2242.97+2528.19</f>
        <v>5371.16</v>
      </c>
      <c r="L81" s="24"/>
      <c r="M81" s="25"/>
      <c r="N81" s="23">
        <f>600+2571.62+2246.21</f>
        <v>5417.83</v>
      </c>
      <c r="O81" s="24"/>
      <c r="P81" s="25"/>
      <c r="Q81" s="23">
        <f>600+2654.97+2246.21</f>
        <v>5501.18</v>
      </c>
      <c r="R81" s="24"/>
      <c r="S81" s="25"/>
      <c r="T81" s="131">
        <f t="shared" ref="T81:T82" si="7">0+E81+H81+K81+N81+Q81</f>
        <v>22693.66</v>
      </c>
      <c r="U81" s="131"/>
      <c r="V81" s="131"/>
      <c r="W81" s="132">
        <f>T81/T102</f>
        <v>8.0026394224443798E-2</v>
      </c>
      <c r="X81" s="133">
        <f>147202.02+T81</f>
        <v>169895.67999999999</v>
      </c>
      <c r="Y81" s="133"/>
    </row>
    <row r="82" spans="1:25" x14ac:dyDescent="0.25">
      <c r="A82" s="139" t="s">
        <v>79</v>
      </c>
      <c r="B82" s="131">
        <v>119812.42</v>
      </c>
      <c r="C82" s="131"/>
      <c r="D82" s="131"/>
      <c r="E82" s="23">
        <f>35+47+47+14.1+94+488.27+380.7+503+47.63+66.81+66.81+31.4+45.25+47.63+1493.53+1493.53+78.96</f>
        <v>4980.62</v>
      </c>
      <c r="F82" s="24"/>
      <c r="G82" s="25"/>
      <c r="H82" s="23">
        <f>183.3+201.63+528+606.3+21.12</f>
        <v>1540.35</v>
      </c>
      <c r="I82" s="24"/>
      <c r="J82" s="25"/>
      <c r="K82" s="23">
        <f>184.98+532+449.62+93.29+61.2+371.3+677+1537.6</f>
        <v>3906.99</v>
      </c>
      <c r="L82" s="24"/>
      <c r="M82" s="25"/>
      <c r="N82" s="23">
        <f>449.62+97.24+1754.17+61.2+677</f>
        <v>3039.23</v>
      </c>
      <c r="O82" s="24"/>
      <c r="P82" s="25"/>
      <c r="Q82" s="23">
        <f>449.62+97.24+56.2+1754.17+709</f>
        <v>3066.23</v>
      </c>
      <c r="R82" s="24"/>
      <c r="S82" s="25"/>
      <c r="T82" s="131">
        <f t="shared" si="7"/>
        <v>16533.419999999998</v>
      </c>
      <c r="U82" s="131"/>
      <c r="V82" s="131"/>
      <c r="W82" s="132">
        <f>T82/T102</f>
        <v>5.8303067323574223E-2</v>
      </c>
      <c r="X82" s="133">
        <f>119812.42+T82</f>
        <v>136345.84</v>
      </c>
      <c r="Y82" s="133"/>
    </row>
    <row r="83" spans="1:25" x14ac:dyDescent="0.25">
      <c r="A83" s="123" t="s">
        <v>80</v>
      </c>
      <c r="B83" s="124">
        <f>SUM(B84:D88)</f>
        <v>21260.080000000002</v>
      </c>
      <c r="C83" s="124"/>
      <c r="D83" s="124"/>
      <c r="E83" s="125">
        <f>SUM(E84:G88)</f>
        <v>189.5</v>
      </c>
      <c r="F83" s="126"/>
      <c r="G83" s="127"/>
      <c r="H83" s="125">
        <f>SUM(H84:J88)</f>
        <v>34</v>
      </c>
      <c r="I83" s="126"/>
      <c r="J83" s="127"/>
      <c r="K83" s="125">
        <f>SUM(K84:M88)</f>
        <v>165.2</v>
      </c>
      <c r="L83" s="126"/>
      <c r="M83" s="127"/>
      <c r="N83" s="125">
        <f>SUM(N84:P88)</f>
        <v>0</v>
      </c>
      <c r="O83" s="126"/>
      <c r="P83" s="127"/>
      <c r="Q83" s="125">
        <f>SUM(Q84:S88)</f>
        <v>174.45999999999998</v>
      </c>
      <c r="R83" s="126"/>
      <c r="S83" s="127"/>
      <c r="T83" s="140">
        <f>SUM(T84:V88)</f>
        <v>563.16</v>
      </c>
      <c r="U83" s="141"/>
      <c r="V83" s="142"/>
      <c r="W83" s="128">
        <f>T83/T102</f>
        <v>1.9859143113732103E-3</v>
      </c>
      <c r="X83" s="129">
        <f>SUM(X84:Y88)</f>
        <v>21823.239999999998</v>
      </c>
      <c r="Y83" s="129"/>
    </row>
    <row r="84" spans="1:25" x14ac:dyDescent="0.25">
      <c r="A84" s="130" t="s">
        <v>81</v>
      </c>
      <c r="B84" s="131">
        <v>4832.0600000000004</v>
      </c>
      <c r="C84" s="131"/>
      <c r="D84" s="131"/>
      <c r="E84" s="23">
        <v>0</v>
      </c>
      <c r="F84" s="24"/>
      <c r="G84" s="25"/>
      <c r="H84" s="23">
        <v>0</v>
      </c>
      <c r="I84" s="24"/>
      <c r="J84" s="25"/>
      <c r="K84" s="23">
        <v>0</v>
      </c>
      <c r="L84" s="24"/>
      <c r="M84" s="25"/>
      <c r="N84" s="23">
        <v>0</v>
      </c>
      <c r="O84" s="24"/>
      <c r="P84" s="25"/>
      <c r="Q84" s="23">
        <v>0</v>
      </c>
      <c r="R84" s="24"/>
      <c r="S84" s="25"/>
      <c r="T84" s="28">
        <f>0+E84+H84+K84+N84+Q84</f>
        <v>0</v>
      </c>
      <c r="U84" s="29"/>
      <c r="V84" s="30"/>
      <c r="W84" s="132">
        <f>T84/T102</f>
        <v>0</v>
      </c>
      <c r="X84" s="133">
        <f>4832.06+T84</f>
        <v>4832.0600000000004</v>
      </c>
      <c r="Y84" s="133"/>
    </row>
    <row r="85" spans="1:25" x14ac:dyDescent="0.25">
      <c r="A85" s="130" t="s">
        <v>82</v>
      </c>
      <c r="B85" s="28">
        <v>0</v>
      </c>
      <c r="C85" s="29"/>
      <c r="D85" s="30"/>
      <c r="E85" s="23">
        <v>0</v>
      </c>
      <c r="F85" s="24"/>
      <c r="G85" s="25"/>
      <c r="H85" s="23">
        <v>0</v>
      </c>
      <c r="I85" s="24"/>
      <c r="J85" s="25"/>
      <c r="K85" s="23">
        <v>0</v>
      </c>
      <c r="L85" s="24"/>
      <c r="M85" s="25"/>
      <c r="N85" s="23">
        <v>0</v>
      </c>
      <c r="O85" s="24"/>
      <c r="P85" s="25"/>
      <c r="Q85" s="23">
        <v>0</v>
      </c>
      <c r="R85" s="24"/>
      <c r="S85" s="25"/>
      <c r="T85" s="28">
        <f t="shared" ref="T85:T88" si="8">0+E85+H85+K85+N85+Q85</f>
        <v>0</v>
      </c>
      <c r="U85" s="29"/>
      <c r="V85" s="30"/>
      <c r="W85" s="132">
        <f>T85/T102</f>
        <v>0</v>
      </c>
      <c r="X85" s="133">
        <f t="shared" ref="X85" si="9">0+T85</f>
        <v>0</v>
      </c>
      <c r="Y85" s="133"/>
    </row>
    <row r="86" spans="1:25" x14ac:dyDescent="0.25">
      <c r="A86" s="130" t="s">
        <v>83</v>
      </c>
      <c r="B86" s="28">
        <v>1100</v>
      </c>
      <c r="C86" s="29"/>
      <c r="D86" s="30"/>
      <c r="E86" s="23">
        <f>17</f>
        <v>17</v>
      </c>
      <c r="F86" s="24"/>
      <c r="G86" s="25"/>
      <c r="H86" s="23">
        <f>17+17</f>
        <v>34</v>
      </c>
      <c r="I86" s="24"/>
      <c r="J86" s="25"/>
      <c r="K86" s="23">
        <f>17+27</f>
        <v>44</v>
      </c>
      <c r="L86" s="24"/>
      <c r="M86" s="25"/>
      <c r="N86" s="23">
        <v>0</v>
      </c>
      <c r="O86" s="24"/>
      <c r="P86" s="25"/>
      <c r="Q86" s="23">
        <f>17+15</f>
        <v>32</v>
      </c>
      <c r="R86" s="24"/>
      <c r="S86" s="25"/>
      <c r="T86" s="28">
        <f t="shared" si="8"/>
        <v>127</v>
      </c>
      <c r="U86" s="29"/>
      <c r="V86" s="30"/>
      <c r="W86" s="132">
        <f>T86/T102</f>
        <v>4.4784984292989152E-4</v>
      </c>
      <c r="X86" s="133">
        <f>1100+T86</f>
        <v>1227</v>
      </c>
      <c r="Y86" s="133"/>
    </row>
    <row r="87" spans="1:25" x14ac:dyDescent="0.25">
      <c r="A87" s="130" t="s">
        <v>84</v>
      </c>
      <c r="B87" s="28">
        <v>14793.96</v>
      </c>
      <c r="C87" s="29"/>
      <c r="D87" s="30"/>
      <c r="E87" s="23">
        <f>35.1+107.4</f>
        <v>142.5</v>
      </c>
      <c r="F87" s="24"/>
      <c r="G87" s="25"/>
      <c r="H87" s="23">
        <v>0</v>
      </c>
      <c r="I87" s="24"/>
      <c r="J87" s="25"/>
      <c r="K87" s="23">
        <f>44.3+35.1</f>
        <v>79.400000000000006</v>
      </c>
      <c r="L87" s="24"/>
      <c r="M87" s="25"/>
      <c r="N87" s="23">
        <v>0</v>
      </c>
      <c r="O87" s="24"/>
      <c r="P87" s="25"/>
      <c r="Q87" s="23">
        <f>9.2+35.1+38.2</f>
        <v>82.5</v>
      </c>
      <c r="R87" s="24"/>
      <c r="S87" s="25"/>
      <c r="T87" s="28">
        <f t="shared" si="8"/>
        <v>304.39999999999998</v>
      </c>
      <c r="U87" s="29"/>
      <c r="V87" s="30"/>
      <c r="W87" s="132">
        <f>T87/T102</f>
        <v>1.0734290723453462E-3</v>
      </c>
      <c r="X87" s="133">
        <f>14793.96+T87</f>
        <v>15098.359999999999</v>
      </c>
      <c r="Y87" s="133"/>
    </row>
    <row r="88" spans="1:25" x14ac:dyDescent="0.25">
      <c r="A88" s="130" t="s">
        <v>85</v>
      </c>
      <c r="B88" s="28">
        <v>534.05999999999995</v>
      </c>
      <c r="C88" s="29"/>
      <c r="D88" s="30"/>
      <c r="E88" s="23">
        <f>16+14</f>
        <v>30</v>
      </c>
      <c r="F88" s="24"/>
      <c r="G88" s="25"/>
      <c r="H88" s="23">
        <v>0</v>
      </c>
      <c r="I88" s="24"/>
      <c r="J88" s="25"/>
      <c r="K88" s="23">
        <f>11.6+15.2+15</f>
        <v>41.8</v>
      </c>
      <c r="L88" s="24"/>
      <c r="M88" s="25"/>
      <c r="N88" s="23">
        <v>0</v>
      </c>
      <c r="O88" s="24"/>
      <c r="P88" s="25"/>
      <c r="Q88" s="23">
        <f>11+15.3+33.66</f>
        <v>59.959999999999994</v>
      </c>
      <c r="R88" s="24"/>
      <c r="S88" s="25"/>
      <c r="T88" s="28">
        <f t="shared" si="8"/>
        <v>131.76</v>
      </c>
      <c r="U88" s="29"/>
      <c r="V88" s="30"/>
      <c r="W88" s="132">
        <f>T88/T102</f>
        <v>4.6463539609797243E-4</v>
      </c>
      <c r="X88" s="133">
        <f>534.06+T88</f>
        <v>665.81999999999994</v>
      </c>
      <c r="Y88" s="133"/>
    </row>
    <row r="89" spans="1:25" x14ac:dyDescent="0.25">
      <c r="A89" s="123" t="s">
        <v>86</v>
      </c>
      <c r="B89" s="140">
        <f>SUM(B90:D93)</f>
        <v>273602.88</v>
      </c>
      <c r="C89" s="141"/>
      <c r="D89" s="142"/>
      <c r="E89" s="125">
        <f>SUM(E90:G93)</f>
        <v>10089.06</v>
      </c>
      <c r="F89" s="126"/>
      <c r="G89" s="127"/>
      <c r="H89" s="125">
        <f t="shared" ref="H89" si="10">SUM(H90:J93)</f>
        <v>200</v>
      </c>
      <c r="I89" s="126"/>
      <c r="J89" s="127"/>
      <c r="K89" s="125">
        <f t="shared" ref="K89" si="11">SUM(K90:M93)</f>
        <v>300</v>
      </c>
      <c r="L89" s="126"/>
      <c r="M89" s="127"/>
      <c r="N89" s="125">
        <f t="shared" ref="N89" si="12">SUM(N90:P93)</f>
        <v>0</v>
      </c>
      <c r="O89" s="126"/>
      <c r="P89" s="127"/>
      <c r="Q89" s="125">
        <f t="shared" ref="Q89" si="13">SUM(Q90:S93)</f>
        <v>5783.0499999999993</v>
      </c>
      <c r="R89" s="126"/>
      <c r="S89" s="127"/>
      <c r="T89" s="140">
        <f>SUM(T90:V93)</f>
        <v>16372.109999999999</v>
      </c>
      <c r="U89" s="141"/>
      <c r="V89" s="142"/>
      <c r="W89" s="128">
        <f>T89/T102</f>
        <v>5.7734227495518937E-2</v>
      </c>
      <c r="X89" s="129">
        <f>SUM(X90:Y93)</f>
        <v>289974.99</v>
      </c>
      <c r="Y89" s="129"/>
    </row>
    <row r="90" spans="1:25" x14ac:dyDescent="0.25">
      <c r="A90" s="130" t="s">
        <v>87</v>
      </c>
      <c r="B90" s="28">
        <f>93359.5</f>
        <v>93359.5</v>
      </c>
      <c r="C90" s="29"/>
      <c r="D90" s="30"/>
      <c r="E90" s="23">
        <f>9027.03+667.8</f>
        <v>9694.83</v>
      </c>
      <c r="F90" s="24"/>
      <c r="G90" s="25"/>
      <c r="H90" s="23">
        <v>0</v>
      </c>
      <c r="I90" s="24"/>
      <c r="J90" s="25"/>
      <c r="K90" s="23">
        <v>0</v>
      </c>
      <c r="L90" s="24"/>
      <c r="M90" s="25"/>
      <c r="N90" s="23">
        <v>0</v>
      </c>
      <c r="O90" s="24"/>
      <c r="P90" s="25"/>
      <c r="Q90" s="23">
        <f>4279.9+1503.15</f>
        <v>5783.0499999999993</v>
      </c>
      <c r="R90" s="24"/>
      <c r="S90" s="25"/>
      <c r="T90" s="28">
        <f>0+E90+H90+K90+N90+Q90</f>
        <v>15477.88</v>
      </c>
      <c r="U90" s="29"/>
      <c r="V90" s="30"/>
      <c r="W90" s="132">
        <f>T90/T102</f>
        <v>5.4580835644785108E-2</v>
      </c>
      <c r="X90" s="133">
        <f>93359.5+T90</f>
        <v>108837.38</v>
      </c>
      <c r="Y90" s="133"/>
    </row>
    <row r="91" spans="1:25" x14ac:dyDescent="0.25">
      <c r="A91" s="130" t="s">
        <v>88</v>
      </c>
      <c r="B91" s="28">
        <v>1000</v>
      </c>
      <c r="C91" s="29"/>
      <c r="D91" s="30"/>
      <c r="E91" s="23">
        <v>0</v>
      </c>
      <c r="F91" s="24"/>
      <c r="G91" s="25"/>
      <c r="H91" s="23">
        <f>200</f>
        <v>200</v>
      </c>
      <c r="I91" s="24"/>
      <c r="J91" s="25"/>
      <c r="K91" s="23">
        <v>0</v>
      </c>
      <c r="L91" s="24"/>
      <c r="M91" s="25"/>
      <c r="N91" s="23">
        <v>0</v>
      </c>
      <c r="O91" s="24"/>
      <c r="P91" s="25"/>
      <c r="Q91" s="23">
        <v>0</v>
      </c>
      <c r="R91" s="24"/>
      <c r="S91" s="25"/>
      <c r="T91" s="28">
        <f t="shared" ref="T91:T93" si="14">0+E91+H91+K91+N91+Q91</f>
        <v>200</v>
      </c>
      <c r="U91" s="29"/>
      <c r="V91" s="30"/>
      <c r="W91" s="132">
        <f>T91/T102</f>
        <v>7.0527534319667952E-4</v>
      </c>
      <c r="X91" s="133">
        <f>1000+T91</f>
        <v>1200</v>
      </c>
      <c r="Y91" s="133"/>
    </row>
    <row r="92" spans="1:25" x14ac:dyDescent="0.25">
      <c r="A92" s="130" t="s">
        <v>89</v>
      </c>
      <c r="B92" s="28">
        <v>179183.38</v>
      </c>
      <c r="C92" s="29"/>
      <c r="D92" s="30"/>
      <c r="E92" s="23">
        <f>20+20+20+20+20+20+100+174.23</f>
        <v>394.23</v>
      </c>
      <c r="F92" s="24"/>
      <c r="G92" s="25"/>
      <c r="H92" s="23">
        <v>0</v>
      </c>
      <c r="I92" s="24"/>
      <c r="J92" s="25"/>
      <c r="K92" s="23">
        <f>120+180</f>
        <v>300</v>
      </c>
      <c r="L92" s="24"/>
      <c r="M92" s="25"/>
      <c r="N92" s="23">
        <v>0</v>
      </c>
      <c r="O92" s="24"/>
      <c r="P92" s="25"/>
      <c r="Q92" s="23">
        <v>0</v>
      </c>
      <c r="R92" s="24"/>
      <c r="S92" s="25"/>
      <c r="T92" s="28">
        <f t="shared" si="14"/>
        <v>694.23</v>
      </c>
      <c r="U92" s="29"/>
      <c r="V92" s="30"/>
      <c r="W92" s="132">
        <f>T92/T102</f>
        <v>2.4481165075371544E-3</v>
      </c>
      <c r="X92" s="133">
        <f>179183.38+T92</f>
        <v>179877.61000000002</v>
      </c>
      <c r="Y92" s="133"/>
    </row>
    <row r="93" spans="1:25" x14ac:dyDescent="0.25">
      <c r="A93" s="130" t="s">
        <v>90</v>
      </c>
      <c r="B93" s="28">
        <v>60</v>
      </c>
      <c r="C93" s="29"/>
      <c r="D93" s="30"/>
      <c r="E93" s="23">
        <v>0</v>
      </c>
      <c r="F93" s="24"/>
      <c r="G93" s="25"/>
      <c r="H93" s="23">
        <v>0</v>
      </c>
      <c r="I93" s="24"/>
      <c r="J93" s="25"/>
      <c r="K93" s="23">
        <v>0</v>
      </c>
      <c r="L93" s="24"/>
      <c r="M93" s="25"/>
      <c r="N93" s="23">
        <v>0</v>
      </c>
      <c r="O93" s="24"/>
      <c r="P93" s="25"/>
      <c r="Q93" s="23">
        <v>0</v>
      </c>
      <c r="R93" s="24"/>
      <c r="S93" s="25"/>
      <c r="T93" s="28">
        <f t="shared" si="14"/>
        <v>0</v>
      </c>
      <c r="U93" s="29"/>
      <c r="V93" s="30"/>
      <c r="W93" s="132">
        <f>T93/T102</f>
        <v>0</v>
      </c>
      <c r="X93" s="133">
        <f>60+T93</f>
        <v>60</v>
      </c>
      <c r="Y93" s="133"/>
    </row>
    <row r="94" spans="1:25" x14ac:dyDescent="0.25">
      <c r="A94" s="123" t="s">
        <v>91</v>
      </c>
      <c r="B94" s="140">
        <f>SUM(B95:D101)</f>
        <v>178248.91999999998</v>
      </c>
      <c r="C94" s="141"/>
      <c r="D94" s="142"/>
      <c r="E94" s="125">
        <f>SUM(E95:G101)</f>
        <v>4770.4400000000005</v>
      </c>
      <c r="F94" s="126"/>
      <c r="G94" s="127"/>
      <c r="H94" s="125">
        <f t="shared" ref="H94" si="15">SUM(H95:J101)</f>
        <v>6178.1900000000005</v>
      </c>
      <c r="I94" s="126"/>
      <c r="J94" s="127"/>
      <c r="K94" s="125">
        <f t="shared" ref="K94" si="16">SUM(K95:M101)</f>
        <v>8814.16</v>
      </c>
      <c r="L94" s="126"/>
      <c r="M94" s="127"/>
      <c r="N94" s="125">
        <f t="shared" ref="N94" si="17">SUM(N95:P101)</f>
        <v>0</v>
      </c>
      <c r="O94" s="126"/>
      <c r="P94" s="127"/>
      <c r="Q94" s="125">
        <f t="shared" ref="Q94" si="18">SUM(Q95:S101)</f>
        <v>0</v>
      </c>
      <c r="R94" s="126"/>
      <c r="S94" s="127"/>
      <c r="T94" s="140">
        <f>SUM(T95:V101)</f>
        <v>19762.79</v>
      </c>
      <c r="U94" s="141"/>
      <c r="V94" s="142"/>
      <c r="W94" s="128">
        <f>T94/T102</f>
        <v>6.9691042498869538E-2</v>
      </c>
      <c r="X94" s="129">
        <f>SUM(X95:Y101)</f>
        <v>198011.71000000002</v>
      </c>
      <c r="Y94" s="129"/>
    </row>
    <row r="95" spans="1:25" x14ac:dyDescent="0.25">
      <c r="A95" s="139" t="s">
        <v>92</v>
      </c>
      <c r="B95" s="28">
        <v>74980.759999999995</v>
      </c>
      <c r="C95" s="29"/>
      <c r="D95" s="30"/>
      <c r="E95" s="23">
        <v>2616.9499999999998</v>
      </c>
      <c r="F95" s="24"/>
      <c r="G95" s="25"/>
      <c r="H95" s="23">
        <f>1710.68+355.51+1760.11</f>
        <v>3826.3</v>
      </c>
      <c r="I95" s="24"/>
      <c r="J95" s="25"/>
      <c r="K95" s="23">
        <f>1556.68+1195.41</f>
        <v>2752.09</v>
      </c>
      <c r="L95" s="24"/>
      <c r="M95" s="25"/>
      <c r="N95" s="23">
        <v>0</v>
      </c>
      <c r="O95" s="24"/>
      <c r="P95" s="25"/>
      <c r="Q95" s="23">
        <v>0</v>
      </c>
      <c r="R95" s="24"/>
      <c r="S95" s="25"/>
      <c r="T95" s="28">
        <f>0+E95+H95+K95+N95+Q95</f>
        <v>9195.34</v>
      </c>
      <c r="U95" s="29"/>
      <c r="V95" s="30"/>
      <c r="W95" s="132">
        <f>T95/T102</f>
        <v>3.2426232871550775E-2</v>
      </c>
      <c r="X95" s="133">
        <f>74980.76+T95</f>
        <v>84176.099999999991</v>
      </c>
      <c r="Y95" s="133"/>
    </row>
    <row r="96" spans="1:25" x14ac:dyDescent="0.25">
      <c r="A96" s="139" t="s">
        <v>93</v>
      </c>
      <c r="B96" s="28">
        <v>19327.43</v>
      </c>
      <c r="C96" s="29"/>
      <c r="D96" s="30"/>
      <c r="E96" s="23">
        <v>0</v>
      </c>
      <c r="F96" s="24"/>
      <c r="G96" s="25"/>
      <c r="H96" s="23">
        <f>1034</f>
        <v>1034</v>
      </c>
      <c r="I96" s="24"/>
      <c r="J96" s="25"/>
      <c r="K96" s="23">
        <v>0</v>
      </c>
      <c r="L96" s="24"/>
      <c r="M96" s="25"/>
      <c r="N96" s="23">
        <v>0</v>
      </c>
      <c r="O96" s="24"/>
      <c r="P96" s="25"/>
      <c r="Q96" s="23">
        <v>0</v>
      </c>
      <c r="R96" s="24"/>
      <c r="S96" s="25"/>
      <c r="T96" s="28">
        <f t="shared" ref="T96:T101" si="19">0+E96+H96+K96+N96+Q96</f>
        <v>1034</v>
      </c>
      <c r="U96" s="29"/>
      <c r="V96" s="30"/>
      <c r="W96" s="132">
        <f>T96/T102</f>
        <v>3.646273524326833E-3</v>
      </c>
      <c r="X96" s="133">
        <f>19327.43+T96</f>
        <v>20361.43</v>
      </c>
      <c r="Y96" s="133"/>
    </row>
    <row r="97" spans="1:25" x14ac:dyDescent="0.25">
      <c r="A97" s="139" t="s">
        <v>94</v>
      </c>
      <c r="B97" s="28">
        <v>24884.52</v>
      </c>
      <c r="C97" s="29"/>
      <c r="D97" s="30"/>
      <c r="E97" s="23">
        <f>751.76</f>
        <v>751.76</v>
      </c>
      <c r="F97" s="24"/>
      <c r="G97" s="25"/>
      <c r="H97" s="23">
        <f>1317.89</f>
        <v>1317.89</v>
      </c>
      <c r="I97" s="24"/>
      <c r="J97" s="25"/>
      <c r="K97" s="23">
        <f>858</f>
        <v>858</v>
      </c>
      <c r="L97" s="24"/>
      <c r="M97" s="25"/>
      <c r="N97" s="23">
        <v>0</v>
      </c>
      <c r="O97" s="24"/>
      <c r="P97" s="25"/>
      <c r="Q97" s="23">
        <v>0</v>
      </c>
      <c r="R97" s="24"/>
      <c r="S97" s="25"/>
      <c r="T97" s="28">
        <f t="shared" si="19"/>
        <v>2927.65</v>
      </c>
      <c r="U97" s="29"/>
      <c r="V97" s="30"/>
      <c r="W97" s="132">
        <f>T97/T102</f>
        <v>1.0323996792548794E-2</v>
      </c>
      <c r="X97" s="133">
        <f>24884.52+T97</f>
        <v>27812.170000000002</v>
      </c>
      <c r="Y97" s="133"/>
    </row>
    <row r="98" spans="1:25" x14ac:dyDescent="0.25">
      <c r="A98" s="139" t="s">
        <v>95</v>
      </c>
      <c r="B98" s="28">
        <v>6131.04</v>
      </c>
      <c r="C98" s="29"/>
      <c r="D98" s="30"/>
      <c r="E98" s="23">
        <v>0</v>
      </c>
      <c r="F98" s="24"/>
      <c r="G98" s="25"/>
      <c r="H98" s="23">
        <v>0</v>
      </c>
      <c r="I98" s="24"/>
      <c r="J98" s="25"/>
      <c r="K98" s="23">
        <f>1527.85</f>
        <v>1527.85</v>
      </c>
      <c r="L98" s="24"/>
      <c r="M98" s="25"/>
      <c r="N98" s="23">
        <v>0</v>
      </c>
      <c r="O98" s="24"/>
      <c r="P98" s="25"/>
      <c r="Q98" s="23">
        <v>0</v>
      </c>
      <c r="R98" s="24"/>
      <c r="S98" s="25"/>
      <c r="T98" s="28">
        <f t="shared" si="19"/>
        <v>1527.85</v>
      </c>
      <c r="U98" s="29"/>
      <c r="V98" s="30"/>
      <c r="W98" s="143">
        <f>T98/T102</f>
        <v>5.3877746655152338E-3</v>
      </c>
      <c r="X98" s="133">
        <f>6131.04+T98</f>
        <v>7658.8899999999994</v>
      </c>
      <c r="Y98" s="133"/>
    </row>
    <row r="99" spans="1:25" x14ac:dyDescent="0.25">
      <c r="A99" s="139" t="s">
        <v>96</v>
      </c>
      <c r="B99" s="28">
        <v>8096.72</v>
      </c>
      <c r="C99" s="29"/>
      <c r="D99" s="30"/>
      <c r="E99" s="23">
        <v>0</v>
      </c>
      <c r="F99" s="24"/>
      <c r="G99" s="25"/>
      <c r="H99" s="23">
        <v>0</v>
      </c>
      <c r="I99" s="24"/>
      <c r="J99" s="25"/>
      <c r="K99" s="23">
        <f>774.85</f>
        <v>774.85</v>
      </c>
      <c r="L99" s="24"/>
      <c r="M99" s="25"/>
      <c r="N99" s="23">
        <v>0</v>
      </c>
      <c r="O99" s="24"/>
      <c r="P99" s="25"/>
      <c r="Q99" s="23">
        <v>0</v>
      </c>
      <c r="R99" s="24"/>
      <c r="S99" s="25"/>
      <c r="T99" s="28">
        <f t="shared" si="19"/>
        <v>774.85</v>
      </c>
      <c r="U99" s="29"/>
      <c r="V99" s="30"/>
      <c r="W99" s="132">
        <f>T99/T102</f>
        <v>2.7324129983797357E-3</v>
      </c>
      <c r="X99" s="133">
        <f>8096.72+T99</f>
        <v>8871.57</v>
      </c>
      <c r="Y99" s="133"/>
    </row>
    <row r="100" spans="1:25" x14ac:dyDescent="0.25">
      <c r="A100" s="139" t="s">
        <v>97</v>
      </c>
      <c r="B100" s="28">
        <v>14414.08</v>
      </c>
      <c r="C100" s="29"/>
      <c r="D100" s="30"/>
      <c r="E100" s="23">
        <v>0</v>
      </c>
      <c r="F100" s="24"/>
      <c r="G100" s="25"/>
      <c r="H100" s="23">
        <v>0</v>
      </c>
      <c r="I100" s="24"/>
      <c r="J100" s="25"/>
      <c r="K100" s="23">
        <v>0</v>
      </c>
      <c r="L100" s="24"/>
      <c r="M100" s="25"/>
      <c r="N100" s="23">
        <v>0</v>
      </c>
      <c r="O100" s="24"/>
      <c r="P100" s="25"/>
      <c r="Q100" s="23">
        <v>0</v>
      </c>
      <c r="R100" s="24"/>
      <c r="S100" s="25"/>
      <c r="T100" s="28">
        <f t="shared" si="19"/>
        <v>0</v>
      </c>
      <c r="U100" s="29"/>
      <c r="V100" s="30"/>
      <c r="W100" s="132">
        <f>T100/T102</f>
        <v>0</v>
      </c>
      <c r="X100" s="133">
        <f>14414.08+T100</f>
        <v>14414.08</v>
      </c>
      <c r="Y100" s="133"/>
    </row>
    <row r="101" spans="1:25" x14ac:dyDescent="0.25">
      <c r="A101" s="139" t="s">
        <v>98</v>
      </c>
      <c r="B101" s="28">
        <v>30414.37</v>
      </c>
      <c r="C101" s="29"/>
      <c r="D101" s="30"/>
      <c r="E101" s="23">
        <f>1045.9+241.2+12.73+21.9+30+50</f>
        <v>1401.7300000000002</v>
      </c>
      <c r="F101" s="24"/>
      <c r="G101" s="25"/>
      <c r="H101" s="23">
        <v>0</v>
      </c>
      <c r="I101" s="24"/>
      <c r="J101" s="25"/>
      <c r="K101" s="23">
        <f>2901.37</f>
        <v>2901.37</v>
      </c>
      <c r="L101" s="24"/>
      <c r="M101" s="25"/>
      <c r="N101" s="23">
        <v>0</v>
      </c>
      <c r="O101" s="24"/>
      <c r="P101" s="25"/>
      <c r="Q101" s="23">
        <v>0</v>
      </c>
      <c r="R101" s="24"/>
      <c r="S101" s="25"/>
      <c r="T101" s="28">
        <f t="shared" si="19"/>
        <v>4303.1000000000004</v>
      </c>
      <c r="U101" s="29"/>
      <c r="V101" s="30"/>
      <c r="W101" s="132">
        <f>T101/T102</f>
        <v>1.517435164654816E-2</v>
      </c>
      <c r="X101" s="133">
        <f>30414.37+T101</f>
        <v>34717.47</v>
      </c>
      <c r="Y101" s="133"/>
    </row>
    <row r="102" spans="1:25" x14ac:dyDescent="0.25">
      <c r="A102" s="144" t="s">
        <v>99</v>
      </c>
      <c r="B102" s="145">
        <v>665976.37</v>
      </c>
      <c r="C102" s="146"/>
      <c r="D102" s="147"/>
      <c r="E102" s="145">
        <f>E33+E42+E46+E50+E63+E68+E83+E89+E94</f>
        <v>60661.509999999995</v>
      </c>
      <c r="F102" s="146"/>
      <c r="G102" s="147"/>
      <c r="H102" s="145">
        <f>H33+H42+H46+H50+H63+H68+H83+H89+H94</f>
        <v>41855.070000000007</v>
      </c>
      <c r="I102" s="146"/>
      <c r="J102" s="147"/>
      <c r="K102" s="145">
        <f>K33+K42+K46+K50+K63+K68+K83+K89+K94</f>
        <v>48116</v>
      </c>
      <c r="L102" s="146"/>
      <c r="M102" s="147"/>
      <c r="N102" s="145">
        <f>N33+N42+N46+N50+N63+N68+N83+N89+N94</f>
        <v>72473.42</v>
      </c>
      <c r="O102" s="146"/>
      <c r="P102" s="147"/>
      <c r="Q102" s="145">
        <f>Q33+Q42+Q46+Q50+Q63+Q68+Q83+Q89+Q94</f>
        <v>60471.19</v>
      </c>
      <c r="R102" s="146"/>
      <c r="S102" s="147"/>
      <c r="T102" s="145">
        <f>SUM(T33+T42+T46+T50+T63+T68+T83+T89+T94)</f>
        <v>283577.19</v>
      </c>
      <c r="U102" s="146"/>
      <c r="V102" s="147"/>
      <c r="W102" s="148">
        <f>T102/T102</f>
        <v>1</v>
      </c>
      <c r="X102" s="149">
        <f>SUM(X33+X42+X46+X50+X63+X68+X83+X89+X94)</f>
        <v>2319778.33</v>
      </c>
      <c r="Y102" s="149"/>
    </row>
    <row r="103" spans="1:25" x14ac:dyDescent="0.25">
      <c r="A103" s="150" t="s">
        <v>100</v>
      </c>
      <c r="B103" s="151">
        <f>D27-B104</f>
        <v>2150247.92</v>
      </c>
      <c r="C103" s="152"/>
      <c r="D103" s="153"/>
      <c r="E103" s="154">
        <f>G27-E102</f>
        <v>63337.280000000013</v>
      </c>
      <c r="F103" s="154"/>
      <c r="G103" s="154"/>
      <c r="H103" s="154">
        <f>J27-H102</f>
        <v>79118.739999999991</v>
      </c>
      <c r="I103" s="154"/>
      <c r="J103" s="154"/>
      <c r="K103" s="154">
        <f>M27-K102</f>
        <v>-39763.53</v>
      </c>
      <c r="L103" s="154"/>
      <c r="M103" s="154"/>
      <c r="N103" s="154">
        <f>P27-N102</f>
        <v>49000.380000000005</v>
      </c>
      <c r="O103" s="154"/>
      <c r="P103" s="154"/>
      <c r="Q103" s="154">
        <f>S27-Q102</f>
        <v>-53036.22</v>
      </c>
      <c r="R103" s="154"/>
      <c r="S103" s="154"/>
      <c r="T103" s="155">
        <f>V27-T102</f>
        <v>98656.650000000023</v>
      </c>
      <c r="U103" s="155"/>
      <c r="V103" s="155"/>
      <c r="W103" s="156">
        <f>Y27-X102</f>
        <v>2248904.5700000003</v>
      </c>
      <c r="X103" s="156"/>
      <c r="Y103" s="156"/>
    </row>
    <row r="104" spans="1:25" x14ac:dyDescent="0.25">
      <c r="A104" s="157" t="s">
        <v>101</v>
      </c>
      <c r="B104" s="158">
        <v>2036201.14</v>
      </c>
      <c r="C104" s="158"/>
      <c r="D104" s="158"/>
      <c r="E104" s="159"/>
      <c r="F104" s="159"/>
      <c r="G104" s="159"/>
      <c r="H104" s="160"/>
      <c r="I104" s="160"/>
      <c r="J104" s="159"/>
      <c r="K104" s="160"/>
      <c r="L104" s="160"/>
      <c r="M104" s="159"/>
      <c r="N104" s="160"/>
      <c r="O104" s="160"/>
      <c r="P104" s="159"/>
      <c r="Q104" s="160"/>
      <c r="R104" s="160"/>
      <c r="S104" s="159"/>
      <c r="T104" s="160"/>
      <c r="U104" s="160"/>
      <c r="V104" s="160"/>
      <c r="W104" s="161"/>
      <c r="X104" s="161"/>
      <c r="Y104" s="161"/>
    </row>
    <row r="105" spans="1:25" x14ac:dyDescent="0.25">
      <c r="A105" s="162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</row>
    <row r="106" spans="1:25" x14ac:dyDescent="0.25">
      <c r="A106" s="164"/>
      <c r="B106" s="164"/>
      <c r="C106" s="164"/>
      <c r="D106" s="164"/>
      <c r="E106" s="164"/>
      <c r="F106" s="164"/>
      <c r="G106" s="164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</row>
    <row r="107" spans="1:25" x14ac:dyDescent="0.25">
      <c r="A107" s="165" t="s">
        <v>102</v>
      </c>
      <c r="B107" s="166" t="s">
        <v>103</v>
      </c>
      <c r="C107" s="167"/>
      <c r="D107" s="167"/>
      <c r="E107" s="168" t="s">
        <v>4</v>
      </c>
      <c r="F107" s="169"/>
      <c r="G107" s="170"/>
      <c r="H107" s="171" t="s">
        <v>5</v>
      </c>
      <c r="I107" s="171"/>
      <c r="J107" s="171"/>
      <c r="K107" s="171" t="s">
        <v>6</v>
      </c>
      <c r="L107" s="171"/>
      <c r="M107" s="171"/>
      <c r="N107" s="171" t="s">
        <v>7</v>
      </c>
      <c r="O107" s="171"/>
      <c r="P107" s="171"/>
      <c r="Q107" s="171" t="s">
        <v>8</v>
      </c>
      <c r="R107" s="171"/>
      <c r="S107" s="171"/>
      <c r="T107" s="172"/>
      <c r="U107" s="172"/>
      <c r="V107" s="172"/>
      <c r="W107" s="172"/>
      <c r="X107" s="172"/>
      <c r="Y107" s="172"/>
    </row>
    <row r="108" spans="1:25" x14ac:dyDescent="0.25">
      <c r="A108" s="173" t="s">
        <v>104</v>
      </c>
      <c r="B108" s="174">
        <f>344608.99</f>
        <v>344608.99</v>
      </c>
      <c r="C108" s="175"/>
      <c r="D108" s="176"/>
      <c r="E108" s="177">
        <f>B108+103000+1258.22-33476.8-48.46</f>
        <v>415341.94999999995</v>
      </c>
      <c r="F108" s="178"/>
      <c r="G108" s="179"/>
      <c r="H108" s="37">
        <f>E108-33646.97+989.67-72.49</f>
        <v>382612.16</v>
      </c>
      <c r="I108" s="37"/>
      <c r="J108" s="37"/>
      <c r="K108" s="37">
        <f>H108+100000-36971.24-103.47+1353.08</f>
        <v>446890.53</v>
      </c>
      <c r="L108" s="37"/>
      <c r="M108" s="37"/>
      <c r="N108" s="177">
        <f>K108+994.9-163-53478.09</f>
        <v>394244.34000000008</v>
      </c>
      <c r="O108" s="178"/>
      <c r="P108" s="179"/>
      <c r="Q108" s="180">
        <f>N108+766.4-808.1-56378.6</f>
        <v>337824.04000000015</v>
      </c>
      <c r="R108" s="180"/>
      <c r="S108" s="180"/>
      <c r="T108" s="172"/>
      <c r="U108" s="172"/>
      <c r="V108" s="172"/>
      <c r="W108" s="172"/>
      <c r="X108" s="172"/>
      <c r="Y108" s="172"/>
    </row>
    <row r="109" spans="1:25" x14ac:dyDescent="0.25">
      <c r="A109" s="173" t="s">
        <v>105</v>
      </c>
      <c r="B109" s="174">
        <v>675639.54</v>
      </c>
      <c r="C109" s="175"/>
      <c r="D109" s="176"/>
      <c r="E109" s="177">
        <f>B109+100000+2528.85</f>
        <v>778168.39</v>
      </c>
      <c r="F109" s="178"/>
      <c r="G109" s="179"/>
      <c r="H109" s="37">
        <f>E109+2097.79</f>
        <v>780266.18</v>
      </c>
      <c r="I109" s="37"/>
      <c r="J109" s="37"/>
      <c r="K109" s="37">
        <f>H109+748.68</f>
        <v>781014.8600000001</v>
      </c>
      <c r="L109" s="37"/>
      <c r="M109" s="37"/>
      <c r="N109" s="135">
        <f>K109-462.33</f>
        <v>780552.53000000014</v>
      </c>
      <c r="O109" s="136"/>
      <c r="P109" s="137"/>
      <c r="Q109" s="133">
        <f>N109+2494.19-1448.28</f>
        <v>781598.44000000006</v>
      </c>
      <c r="R109" s="133"/>
      <c r="S109" s="133"/>
      <c r="T109" s="181"/>
      <c r="U109" s="181"/>
      <c r="V109" s="181"/>
      <c r="W109" s="181"/>
      <c r="X109" s="181"/>
      <c r="Y109" s="181"/>
    </row>
    <row r="110" spans="1:25" x14ac:dyDescent="0.25">
      <c r="A110" s="173" t="s">
        <v>106</v>
      </c>
      <c r="B110" s="174">
        <v>0</v>
      </c>
      <c r="C110" s="175"/>
      <c r="D110" s="176"/>
      <c r="E110" s="177">
        <v>0</v>
      </c>
      <c r="F110" s="178"/>
      <c r="G110" s="179"/>
      <c r="H110" s="177">
        <v>0</v>
      </c>
      <c r="I110" s="178"/>
      <c r="J110" s="179"/>
      <c r="K110" s="177">
        <v>0</v>
      </c>
      <c r="L110" s="178"/>
      <c r="M110" s="179"/>
      <c r="N110" s="177">
        <f>100000+25.38</f>
        <v>100025.38</v>
      </c>
      <c r="O110" s="178"/>
      <c r="P110" s="179"/>
      <c r="Q110" s="180">
        <f>N110+209.71-35.26</f>
        <v>100199.83000000002</v>
      </c>
      <c r="R110" s="180"/>
      <c r="S110" s="180"/>
      <c r="T110" s="172"/>
      <c r="U110" s="172"/>
      <c r="V110" s="172"/>
      <c r="W110" s="172"/>
      <c r="X110" s="172"/>
      <c r="Y110" s="172"/>
    </row>
    <row r="111" spans="1:25" x14ac:dyDescent="0.25">
      <c r="A111" s="173" t="s">
        <v>107</v>
      </c>
      <c r="B111" s="174">
        <v>1016116.05</v>
      </c>
      <c r="C111" s="175"/>
      <c r="D111" s="176"/>
      <c r="E111" s="177">
        <f>B111+3456.99</f>
        <v>1019573.04</v>
      </c>
      <c r="F111" s="178"/>
      <c r="G111" s="179"/>
      <c r="H111" s="37">
        <f>E111+2306.35</f>
        <v>1021879.39</v>
      </c>
      <c r="I111" s="37"/>
      <c r="J111" s="37"/>
      <c r="K111" s="37">
        <f>H111+2670.71</f>
        <v>1024550.1</v>
      </c>
      <c r="L111" s="37"/>
      <c r="M111" s="37"/>
      <c r="N111" s="177">
        <f>K111+2243.52</f>
        <v>1026793.62</v>
      </c>
      <c r="O111" s="178"/>
      <c r="P111" s="179"/>
      <c r="Q111" s="180">
        <f>N111+1884.67</f>
        <v>1028678.29</v>
      </c>
      <c r="R111" s="180"/>
      <c r="S111" s="180"/>
      <c r="T111" s="172"/>
      <c r="U111" s="172"/>
      <c r="V111" s="172"/>
      <c r="W111" s="172"/>
      <c r="X111" s="172"/>
      <c r="Y111" s="172"/>
    </row>
    <row r="112" spans="1:25" x14ac:dyDescent="0.25">
      <c r="A112" s="173" t="s">
        <v>108</v>
      </c>
      <c r="B112" s="174">
        <v>113425.27</v>
      </c>
      <c r="C112" s="175"/>
      <c r="D112" s="176"/>
      <c r="E112" s="135">
        <f>B112+447.4-113872.67</f>
        <v>0</v>
      </c>
      <c r="F112" s="136"/>
      <c r="G112" s="137"/>
      <c r="H112" s="133">
        <v>0</v>
      </c>
      <c r="I112" s="133"/>
      <c r="J112" s="133"/>
      <c r="K112" s="133">
        <f>0</f>
        <v>0</v>
      </c>
      <c r="L112" s="133"/>
      <c r="M112" s="133"/>
      <c r="N112" s="177">
        <v>0</v>
      </c>
      <c r="O112" s="178"/>
      <c r="P112" s="179"/>
      <c r="Q112" s="180">
        <v>0</v>
      </c>
      <c r="R112" s="180"/>
      <c r="S112" s="180"/>
      <c r="T112" s="172"/>
      <c r="U112" s="172"/>
      <c r="V112" s="172"/>
      <c r="W112" s="172"/>
      <c r="X112" s="172"/>
      <c r="Y112" s="172"/>
    </row>
    <row r="113" spans="1:25" x14ac:dyDescent="0.25">
      <c r="A113" s="182" t="s">
        <v>109</v>
      </c>
      <c r="B113" s="183">
        <f>SUM(B108:D112)</f>
        <v>2149789.85</v>
      </c>
      <c r="C113" s="184"/>
      <c r="D113" s="185"/>
      <c r="E113" s="183">
        <f>SUM(E108:G112)</f>
        <v>2213083.38</v>
      </c>
      <c r="F113" s="184"/>
      <c r="G113" s="185"/>
      <c r="H113" s="186">
        <f>SUM(H108:J112)</f>
        <v>2184757.73</v>
      </c>
      <c r="I113" s="186"/>
      <c r="J113" s="186"/>
      <c r="K113" s="186">
        <f>SUM(K108:M112)</f>
        <v>2252455.4900000002</v>
      </c>
      <c r="L113" s="186"/>
      <c r="M113" s="186"/>
      <c r="N113" s="186">
        <f>SUM(N108:P112)</f>
        <v>2301615.87</v>
      </c>
      <c r="O113" s="186"/>
      <c r="P113" s="186"/>
      <c r="Q113" s="186">
        <f>SUM(Q108:S112)</f>
        <v>2248300.6000000006</v>
      </c>
      <c r="R113" s="186"/>
      <c r="S113" s="186"/>
      <c r="T113" s="172"/>
      <c r="U113" s="172"/>
      <c r="V113" s="172"/>
      <c r="W113" s="172"/>
      <c r="X113" s="172"/>
      <c r="Y113" s="172"/>
    </row>
    <row r="114" spans="1:25" x14ac:dyDescent="0.25">
      <c r="A114" s="187" t="s">
        <v>110</v>
      </c>
      <c r="B114" s="188"/>
      <c r="C114" s="188"/>
      <c r="D114" s="188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72"/>
      <c r="R114" s="172"/>
      <c r="S114" s="188"/>
      <c r="T114" s="172"/>
      <c r="U114" s="172"/>
      <c r="V114" s="172"/>
      <c r="W114" s="172"/>
      <c r="X114" s="172"/>
      <c r="Y114" s="172"/>
    </row>
    <row r="115" spans="1:25" x14ac:dyDescent="0.25">
      <c r="A115" s="189" t="s">
        <v>111</v>
      </c>
      <c r="B115" s="188"/>
      <c r="C115" s="188"/>
      <c r="D115" s="188"/>
      <c r="E115" s="188"/>
      <c r="F115" s="188"/>
      <c r="Q115" s="172"/>
      <c r="R115" s="172"/>
      <c r="T115" s="172"/>
      <c r="U115" s="172"/>
      <c r="V115" s="172"/>
      <c r="W115" s="172"/>
      <c r="X115" s="172"/>
      <c r="Y115" s="172"/>
    </row>
    <row r="116" spans="1:25" x14ac:dyDescent="0.25">
      <c r="A116" s="189" t="s">
        <v>112</v>
      </c>
      <c r="B116" s="188"/>
      <c r="C116" s="188"/>
      <c r="D116" s="188"/>
      <c r="E116" s="188"/>
      <c r="F116" s="188"/>
      <c r="Q116" s="172"/>
      <c r="R116" s="172"/>
      <c r="T116" s="172"/>
      <c r="U116" s="172"/>
      <c r="V116" s="172"/>
      <c r="W116" s="172"/>
      <c r="X116" s="172"/>
      <c r="Y116" s="172"/>
    </row>
    <row r="117" spans="1:25" x14ac:dyDescent="0.25">
      <c r="A117" s="190" t="s">
        <v>113</v>
      </c>
      <c r="B117" s="190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</row>
    <row r="118" spans="1:25" x14ac:dyDescent="0.25">
      <c r="A118" s="191" t="s">
        <v>114</v>
      </c>
      <c r="B118" s="191"/>
      <c r="C118" s="191"/>
      <c r="D118" s="191"/>
      <c r="E118" s="191"/>
      <c r="F118" s="191"/>
      <c r="G118" s="188"/>
      <c r="H118" s="191"/>
      <c r="I118" s="191"/>
      <c r="J118" s="188"/>
      <c r="K118" s="191"/>
      <c r="L118" s="191"/>
      <c r="M118" s="188"/>
      <c r="N118" s="191"/>
      <c r="O118" s="191"/>
      <c r="P118" s="188"/>
      <c r="Q118" s="191"/>
      <c r="R118" s="191"/>
      <c r="S118" s="188"/>
      <c r="T118" s="191"/>
      <c r="U118" s="191"/>
      <c r="V118" s="191"/>
      <c r="W118" s="191"/>
      <c r="X118" s="191"/>
      <c r="Y118" s="191"/>
    </row>
    <row r="119" spans="1:25" x14ac:dyDescent="0.25">
      <c r="A119" s="191" t="s">
        <v>115</v>
      </c>
      <c r="B119" s="191"/>
      <c r="C119" s="191"/>
      <c r="D119" s="191"/>
      <c r="E119" s="191"/>
      <c r="F119" s="191"/>
      <c r="G119" s="188"/>
      <c r="H119" s="191"/>
      <c r="I119" s="191"/>
      <c r="J119" s="188"/>
      <c r="K119" s="191"/>
      <c r="L119" s="191"/>
      <c r="M119" s="188"/>
      <c r="N119" s="191"/>
      <c r="O119" s="191"/>
      <c r="P119" s="188"/>
      <c r="Q119" s="191"/>
      <c r="R119" s="191"/>
      <c r="S119" s="188"/>
      <c r="T119" s="191"/>
      <c r="U119" s="191"/>
      <c r="V119" s="191"/>
      <c r="W119" s="191"/>
      <c r="X119" s="191"/>
      <c r="Y119" s="191"/>
    </row>
    <row r="120" spans="1:25" x14ac:dyDescent="0.25">
      <c r="A120" s="191" t="s">
        <v>116</v>
      </c>
      <c r="B120" s="191"/>
      <c r="C120" s="191"/>
      <c r="D120" s="191"/>
      <c r="E120" s="191"/>
      <c r="F120" s="191"/>
      <c r="G120" s="191"/>
      <c r="H120" s="191"/>
      <c r="I120" s="191"/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</row>
    <row r="121" spans="1:25" x14ac:dyDescent="0.25">
      <c r="A121" s="191" t="s">
        <v>117</v>
      </c>
    </row>
  </sheetData>
  <sheetProtection sheet="1" objects="1" scenarios="1"/>
  <mergeCells count="705">
    <mergeCell ref="A117:Y117"/>
    <mergeCell ref="B113:D113"/>
    <mergeCell ref="E113:G113"/>
    <mergeCell ref="H113:J113"/>
    <mergeCell ref="K113:M113"/>
    <mergeCell ref="N113:P113"/>
    <mergeCell ref="Q113:S113"/>
    <mergeCell ref="B112:D112"/>
    <mergeCell ref="E112:G112"/>
    <mergeCell ref="H112:J112"/>
    <mergeCell ref="K112:M112"/>
    <mergeCell ref="N112:P112"/>
    <mergeCell ref="Q112:S112"/>
    <mergeCell ref="B111:D111"/>
    <mergeCell ref="E111:G111"/>
    <mergeCell ref="H111:J111"/>
    <mergeCell ref="K111:M111"/>
    <mergeCell ref="N111:P111"/>
    <mergeCell ref="Q111:S111"/>
    <mergeCell ref="T109:Y109"/>
    <mergeCell ref="B110:D110"/>
    <mergeCell ref="E110:G110"/>
    <mergeCell ref="H110:J110"/>
    <mergeCell ref="K110:M110"/>
    <mergeCell ref="N110:P110"/>
    <mergeCell ref="Q110:S110"/>
    <mergeCell ref="B109:D109"/>
    <mergeCell ref="E109:G109"/>
    <mergeCell ref="H109:J109"/>
    <mergeCell ref="K109:M109"/>
    <mergeCell ref="N109:P109"/>
    <mergeCell ref="Q109:S109"/>
    <mergeCell ref="B108:D108"/>
    <mergeCell ref="E108:G108"/>
    <mergeCell ref="H108:J108"/>
    <mergeCell ref="K108:M108"/>
    <mergeCell ref="N108:P108"/>
    <mergeCell ref="Q108:S108"/>
    <mergeCell ref="B104:D104"/>
    <mergeCell ref="W104:Y104"/>
    <mergeCell ref="A105:Y106"/>
    <mergeCell ref="B107:D107"/>
    <mergeCell ref="E107:G107"/>
    <mergeCell ref="H107:J107"/>
    <mergeCell ref="K107:M107"/>
    <mergeCell ref="N107:P107"/>
    <mergeCell ref="Q107:S107"/>
    <mergeCell ref="T102:V102"/>
    <mergeCell ref="X102:Y102"/>
    <mergeCell ref="B103:D103"/>
    <mergeCell ref="E103:G103"/>
    <mergeCell ref="H103:J103"/>
    <mergeCell ref="K103:M103"/>
    <mergeCell ref="N103:P103"/>
    <mergeCell ref="Q103:S103"/>
    <mergeCell ref="T103:V103"/>
    <mergeCell ref="W103:Y103"/>
    <mergeCell ref="B102:D102"/>
    <mergeCell ref="E102:G102"/>
    <mergeCell ref="H102:J102"/>
    <mergeCell ref="K102:M102"/>
    <mergeCell ref="N102:P102"/>
    <mergeCell ref="Q102:S102"/>
    <mergeCell ref="T100:V100"/>
    <mergeCell ref="X100:Y100"/>
    <mergeCell ref="B101:D101"/>
    <mergeCell ref="E101:G101"/>
    <mergeCell ref="H101:J101"/>
    <mergeCell ref="K101:M101"/>
    <mergeCell ref="N101:P101"/>
    <mergeCell ref="Q101:S101"/>
    <mergeCell ref="T101:V101"/>
    <mergeCell ref="X101:Y101"/>
    <mergeCell ref="B100:D100"/>
    <mergeCell ref="E100:G100"/>
    <mergeCell ref="H100:J100"/>
    <mergeCell ref="K100:M100"/>
    <mergeCell ref="N100:P100"/>
    <mergeCell ref="Q100:S100"/>
    <mergeCell ref="T98:V98"/>
    <mergeCell ref="X98:Y98"/>
    <mergeCell ref="B99:D99"/>
    <mergeCell ref="E99:G99"/>
    <mergeCell ref="H99:J99"/>
    <mergeCell ref="K99:M99"/>
    <mergeCell ref="N99:P99"/>
    <mergeCell ref="Q99:S99"/>
    <mergeCell ref="T99:V99"/>
    <mergeCell ref="X99:Y99"/>
    <mergeCell ref="B98:D98"/>
    <mergeCell ref="E98:G98"/>
    <mergeCell ref="H98:J98"/>
    <mergeCell ref="K98:M98"/>
    <mergeCell ref="N98:P98"/>
    <mergeCell ref="Q98:S98"/>
    <mergeCell ref="T96:V96"/>
    <mergeCell ref="X96:Y96"/>
    <mergeCell ref="B97:D97"/>
    <mergeCell ref="E97:G97"/>
    <mergeCell ref="H97:J97"/>
    <mergeCell ref="K97:M97"/>
    <mergeCell ref="N97:P97"/>
    <mergeCell ref="Q97:S97"/>
    <mergeCell ref="T97:V97"/>
    <mergeCell ref="X97:Y97"/>
    <mergeCell ref="B96:D96"/>
    <mergeCell ref="E96:G96"/>
    <mergeCell ref="H96:J96"/>
    <mergeCell ref="K96:M96"/>
    <mergeCell ref="N96:P96"/>
    <mergeCell ref="Q96:S96"/>
    <mergeCell ref="T94:V94"/>
    <mergeCell ref="X94:Y94"/>
    <mergeCell ref="B95:D95"/>
    <mergeCell ref="E95:G95"/>
    <mergeCell ref="H95:J95"/>
    <mergeCell ref="K95:M95"/>
    <mergeCell ref="N95:P95"/>
    <mergeCell ref="Q95:S95"/>
    <mergeCell ref="T95:V95"/>
    <mergeCell ref="X95:Y95"/>
    <mergeCell ref="B94:D94"/>
    <mergeCell ref="E94:G94"/>
    <mergeCell ref="H94:J94"/>
    <mergeCell ref="K94:M94"/>
    <mergeCell ref="N94:P94"/>
    <mergeCell ref="Q94:S94"/>
    <mergeCell ref="T92:V92"/>
    <mergeCell ref="X92:Y92"/>
    <mergeCell ref="B93:D93"/>
    <mergeCell ref="E93:G93"/>
    <mergeCell ref="H93:J93"/>
    <mergeCell ref="K93:M93"/>
    <mergeCell ref="N93:P93"/>
    <mergeCell ref="Q93:S93"/>
    <mergeCell ref="T93:V93"/>
    <mergeCell ref="X93:Y93"/>
    <mergeCell ref="B92:D92"/>
    <mergeCell ref="E92:G92"/>
    <mergeCell ref="H92:J92"/>
    <mergeCell ref="K92:M92"/>
    <mergeCell ref="N92:P92"/>
    <mergeCell ref="Q92:S92"/>
    <mergeCell ref="T90:V90"/>
    <mergeCell ref="X90:Y90"/>
    <mergeCell ref="B91:D91"/>
    <mergeCell ref="E91:G91"/>
    <mergeCell ref="H91:J91"/>
    <mergeCell ref="K91:M91"/>
    <mergeCell ref="N91:P91"/>
    <mergeCell ref="Q91:S91"/>
    <mergeCell ref="T91:V91"/>
    <mergeCell ref="X91:Y91"/>
    <mergeCell ref="B90:D90"/>
    <mergeCell ref="E90:G90"/>
    <mergeCell ref="H90:J90"/>
    <mergeCell ref="K90:M90"/>
    <mergeCell ref="N90:P90"/>
    <mergeCell ref="Q90:S90"/>
    <mergeCell ref="T88:V88"/>
    <mergeCell ref="X88:Y88"/>
    <mergeCell ref="B89:D89"/>
    <mergeCell ref="E89:G89"/>
    <mergeCell ref="H89:J89"/>
    <mergeCell ref="K89:M89"/>
    <mergeCell ref="N89:P89"/>
    <mergeCell ref="Q89:S89"/>
    <mergeCell ref="T89:V89"/>
    <mergeCell ref="X89:Y89"/>
    <mergeCell ref="B88:D88"/>
    <mergeCell ref="E88:G88"/>
    <mergeCell ref="H88:J88"/>
    <mergeCell ref="K88:M88"/>
    <mergeCell ref="N88:P88"/>
    <mergeCell ref="Q88:S88"/>
    <mergeCell ref="T86:V86"/>
    <mergeCell ref="X86:Y86"/>
    <mergeCell ref="B87:D87"/>
    <mergeCell ref="E87:G87"/>
    <mergeCell ref="H87:J87"/>
    <mergeCell ref="K87:M87"/>
    <mergeCell ref="N87:P87"/>
    <mergeCell ref="Q87:S87"/>
    <mergeCell ref="T87:V87"/>
    <mergeCell ref="X87:Y87"/>
    <mergeCell ref="B86:D86"/>
    <mergeCell ref="E86:G86"/>
    <mergeCell ref="H86:J86"/>
    <mergeCell ref="K86:M86"/>
    <mergeCell ref="N86:P86"/>
    <mergeCell ref="Q86:S86"/>
    <mergeCell ref="T84:V84"/>
    <mergeCell ref="X84:Y84"/>
    <mergeCell ref="B85:D85"/>
    <mergeCell ref="E85:G85"/>
    <mergeCell ref="H85:J85"/>
    <mergeCell ref="K85:M85"/>
    <mergeCell ref="N85:P85"/>
    <mergeCell ref="Q85:S85"/>
    <mergeCell ref="T85:V85"/>
    <mergeCell ref="X85:Y85"/>
    <mergeCell ref="B84:D84"/>
    <mergeCell ref="E84:G84"/>
    <mergeCell ref="H84:J84"/>
    <mergeCell ref="K84:M84"/>
    <mergeCell ref="N84:P84"/>
    <mergeCell ref="Q84:S84"/>
    <mergeCell ref="T82:V82"/>
    <mergeCell ref="X82:Y82"/>
    <mergeCell ref="B83:D83"/>
    <mergeCell ref="E83:G83"/>
    <mergeCell ref="H83:J83"/>
    <mergeCell ref="K83:M83"/>
    <mergeCell ref="N83:P83"/>
    <mergeCell ref="Q83:S83"/>
    <mergeCell ref="T83:V83"/>
    <mergeCell ref="X83:Y83"/>
    <mergeCell ref="B82:D82"/>
    <mergeCell ref="E82:G82"/>
    <mergeCell ref="H82:J82"/>
    <mergeCell ref="K82:M82"/>
    <mergeCell ref="N82:P82"/>
    <mergeCell ref="Q82:S82"/>
    <mergeCell ref="T80:V80"/>
    <mergeCell ref="X80:Y80"/>
    <mergeCell ref="B81:D81"/>
    <mergeCell ref="E81:G81"/>
    <mergeCell ref="H81:J81"/>
    <mergeCell ref="K81:M81"/>
    <mergeCell ref="N81:P81"/>
    <mergeCell ref="Q81:S81"/>
    <mergeCell ref="T81:V81"/>
    <mergeCell ref="X81:Y81"/>
    <mergeCell ref="B80:D80"/>
    <mergeCell ref="E80:G80"/>
    <mergeCell ref="H80:J80"/>
    <mergeCell ref="K80:M80"/>
    <mergeCell ref="N80:P80"/>
    <mergeCell ref="Q80:S80"/>
    <mergeCell ref="T78:V78"/>
    <mergeCell ref="X78:Y78"/>
    <mergeCell ref="B79:D79"/>
    <mergeCell ref="E79:G79"/>
    <mergeCell ref="H79:J79"/>
    <mergeCell ref="K79:M79"/>
    <mergeCell ref="N79:P79"/>
    <mergeCell ref="Q79:S79"/>
    <mergeCell ref="T79:V79"/>
    <mergeCell ref="X79:Y79"/>
    <mergeCell ref="B78:D78"/>
    <mergeCell ref="E78:G78"/>
    <mergeCell ref="H78:J78"/>
    <mergeCell ref="K78:M78"/>
    <mergeCell ref="N78:P78"/>
    <mergeCell ref="Q78:S78"/>
    <mergeCell ref="T76:V76"/>
    <mergeCell ref="X76:Y76"/>
    <mergeCell ref="B77:D77"/>
    <mergeCell ref="E77:G77"/>
    <mergeCell ref="H77:J77"/>
    <mergeCell ref="K77:M77"/>
    <mergeCell ref="N77:P77"/>
    <mergeCell ref="Q77:S77"/>
    <mergeCell ref="T77:V77"/>
    <mergeCell ref="X77:Y77"/>
    <mergeCell ref="B76:D76"/>
    <mergeCell ref="E76:G76"/>
    <mergeCell ref="H76:J76"/>
    <mergeCell ref="K76:M76"/>
    <mergeCell ref="N76:P76"/>
    <mergeCell ref="Q76:S76"/>
    <mergeCell ref="T74:V74"/>
    <mergeCell ref="X74:Y74"/>
    <mergeCell ref="B75:D75"/>
    <mergeCell ref="E75:G75"/>
    <mergeCell ref="H75:J75"/>
    <mergeCell ref="K75:M75"/>
    <mergeCell ref="N75:P75"/>
    <mergeCell ref="Q75:S75"/>
    <mergeCell ref="T75:V75"/>
    <mergeCell ref="X75:Y75"/>
    <mergeCell ref="B74:D74"/>
    <mergeCell ref="E74:G74"/>
    <mergeCell ref="H74:J74"/>
    <mergeCell ref="K74:M74"/>
    <mergeCell ref="N74:P74"/>
    <mergeCell ref="Q74:S74"/>
    <mergeCell ref="T72:V72"/>
    <mergeCell ref="X72:Y72"/>
    <mergeCell ref="B73:D73"/>
    <mergeCell ref="E73:G73"/>
    <mergeCell ref="H73:J73"/>
    <mergeCell ref="K73:M73"/>
    <mergeCell ref="N73:P73"/>
    <mergeCell ref="Q73:S73"/>
    <mergeCell ref="T73:V73"/>
    <mergeCell ref="X73:Y73"/>
    <mergeCell ref="B72:D72"/>
    <mergeCell ref="E72:G72"/>
    <mergeCell ref="H72:J72"/>
    <mergeCell ref="K72:M72"/>
    <mergeCell ref="N72:P72"/>
    <mergeCell ref="Q72:S72"/>
    <mergeCell ref="T70:V70"/>
    <mergeCell ref="X70:Y70"/>
    <mergeCell ref="B71:D71"/>
    <mergeCell ref="E71:G71"/>
    <mergeCell ref="H71:J71"/>
    <mergeCell ref="K71:M71"/>
    <mergeCell ref="N71:P71"/>
    <mergeCell ref="Q71:S71"/>
    <mergeCell ref="T71:V71"/>
    <mergeCell ref="X71:Y71"/>
    <mergeCell ref="B70:D70"/>
    <mergeCell ref="E70:G70"/>
    <mergeCell ref="H70:J70"/>
    <mergeCell ref="K70:M70"/>
    <mergeCell ref="N70:P70"/>
    <mergeCell ref="Q70:S70"/>
    <mergeCell ref="T68:V68"/>
    <mergeCell ref="X68:Y68"/>
    <mergeCell ref="B69:D69"/>
    <mergeCell ref="E69:G69"/>
    <mergeCell ref="H69:J69"/>
    <mergeCell ref="K69:M69"/>
    <mergeCell ref="N69:P69"/>
    <mergeCell ref="Q69:S69"/>
    <mergeCell ref="T69:V69"/>
    <mergeCell ref="X69:Y69"/>
    <mergeCell ref="B68:D68"/>
    <mergeCell ref="E68:G68"/>
    <mergeCell ref="H68:J68"/>
    <mergeCell ref="K68:M68"/>
    <mergeCell ref="N68:P68"/>
    <mergeCell ref="Q68:S68"/>
    <mergeCell ref="T66:V66"/>
    <mergeCell ref="X66:Y66"/>
    <mergeCell ref="B67:D67"/>
    <mergeCell ref="E67:G67"/>
    <mergeCell ref="H67:J67"/>
    <mergeCell ref="K67:M67"/>
    <mergeCell ref="N67:P67"/>
    <mergeCell ref="Q67:S67"/>
    <mergeCell ref="T67:V67"/>
    <mergeCell ref="X67:Y67"/>
    <mergeCell ref="B66:D66"/>
    <mergeCell ref="E66:G66"/>
    <mergeCell ref="H66:J66"/>
    <mergeCell ref="K66:M66"/>
    <mergeCell ref="N66:P66"/>
    <mergeCell ref="Q66:S66"/>
    <mergeCell ref="T64:V64"/>
    <mergeCell ref="X64:Y64"/>
    <mergeCell ref="B65:D65"/>
    <mergeCell ref="E65:G65"/>
    <mergeCell ref="H65:J65"/>
    <mergeCell ref="K65:M65"/>
    <mergeCell ref="N65:P65"/>
    <mergeCell ref="Q65:S65"/>
    <mergeCell ref="T65:V65"/>
    <mergeCell ref="X65:Y65"/>
    <mergeCell ref="B64:D64"/>
    <mergeCell ref="E64:G64"/>
    <mergeCell ref="H64:J64"/>
    <mergeCell ref="K64:M64"/>
    <mergeCell ref="N64:P64"/>
    <mergeCell ref="Q64:S64"/>
    <mergeCell ref="T62:V62"/>
    <mergeCell ref="X62:Y62"/>
    <mergeCell ref="B63:D63"/>
    <mergeCell ref="E63:G63"/>
    <mergeCell ref="H63:J63"/>
    <mergeCell ref="K63:M63"/>
    <mergeCell ref="N63:P63"/>
    <mergeCell ref="Q63:S63"/>
    <mergeCell ref="T63:V63"/>
    <mergeCell ref="X63:Y63"/>
    <mergeCell ref="B62:D62"/>
    <mergeCell ref="E62:G62"/>
    <mergeCell ref="H62:J62"/>
    <mergeCell ref="K62:M62"/>
    <mergeCell ref="N62:P62"/>
    <mergeCell ref="Q62:S62"/>
    <mergeCell ref="T60:V60"/>
    <mergeCell ref="X60:Y60"/>
    <mergeCell ref="B61:D61"/>
    <mergeCell ref="E61:G61"/>
    <mergeCell ref="H61:J61"/>
    <mergeCell ref="K61:M61"/>
    <mergeCell ref="N61:P61"/>
    <mergeCell ref="Q61:S61"/>
    <mergeCell ref="T61:V61"/>
    <mergeCell ref="X61:Y61"/>
    <mergeCell ref="B60:D60"/>
    <mergeCell ref="E60:G60"/>
    <mergeCell ref="H60:J60"/>
    <mergeCell ref="K60:M60"/>
    <mergeCell ref="N60:P60"/>
    <mergeCell ref="Q60:S60"/>
    <mergeCell ref="T58:V58"/>
    <mergeCell ref="X58:Y58"/>
    <mergeCell ref="B59:D59"/>
    <mergeCell ref="E59:G59"/>
    <mergeCell ref="H59:J59"/>
    <mergeCell ref="K59:M59"/>
    <mergeCell ref="N59:P59"/>
    <mergeCell ref="Q59:S59"/>
    <mergeCell ref="T59:V59"/>
    <mergeCell ref="X59:Y59"/>
    <mergeCell ref="B58:D58"/>
    <mergeCell ref="E58:G58"/>
    <mergeCell ref="H58:J58"/>
    <mergeCell ref="K58:M58"/>
    <mergeCell ref="N58:P58"/>
    <mergeCell ref="Q58:S58"/>
    <mergeCell ref="T56:V56"/>
    <mergeCell ref="X56:Y56"/>
    <mergeCell ref="B57:D57"/>
    <mergeCell ref="E57:G57"/>
    <mergeCell ref="H57:J57"/>
    <mergeCell ref="K57:M57"/>
    <mergeCell ref="N57:P57"/>
    <mergeCell ref="Q57:S57"/>
    <mergeCell ref="T57:V57"/>
    <mergeCell ref="X57:Y57"/>
    <mergeCell ref="B56:D56"/>
    <mergeCell ref="E56:G56"/>
    <mergeCell ref="H56:J56"/>
    <mergeCell ref="K56:M56"/>
    <mergeCell ref="N56:P56"/>
    <mergeCell ref="Q56:S56"/>
    <mergeCell ref="T54:V54"/>
    <mergeCell ref="X54:Y54"/>
    <mergeCell ref="B55:D55"/>
    <mergeCell ref="E55:G55"/>
    <mergeCell ref="H55:J55"/>
    <mergeCell ref="K55:M55"/>
    <mergeCell ref="N55:P55"/>
    <mergeCell ref="Q55:S55"/>
    <mergeCell ref="T55:V55"/>
    <mergeCell ref="X55:Y55"/>
    <mergeCell ref="B54:D54"/>
    <mergeCell ref="E54:G54"/>
    <mergeCell ref="H54:J54"/>
    <mergeCell ref="K54:M54"/>
    <mergeCell ref="N54:P54"/>
    <mergeCell ref="Q54:S54"/>
    <mergeCell ref="T52:V52"/>
    <mergeCell ref="X52:Y52"/>
    <mergeCell ref="B53:D53"/>
    <mergeCell ref="E53:G53"/>
    <mergeCell ref="H53:J53"/>
    <mergeCell ref="K53:M53"/>
    <mergeCell ref="N53:P53"/>
    <mergeCell ref="Q53:S53"/>
    <mergeCell ref="T53:V53"/>
    <mergeCell ref="X53:Y53"/>
    <mergeCell ref="B52:D52"/>
    <mergeCell ref="E52:G52"/>
    <mergeCell ref="H52:J52"/>
    <mergeCell ref="K52:M52"/>
    <mergeCell ref="N52:P52"/>
    <mergeCell ref="Q52:S52"/>
    <mergeCell ref="T50:V50"/>
    <mergeCell ref="X50:Y50"/>
    <mergeCell ref="B51:D51"/>
    <mergeCell ref="E51:G51"/>
    <mergeCell ref="H51:J51"/>
    <mergeCell ref="K51:M51"/>
    <mergeCell ref="N51:P51"/>
    <mergeCell ref="Q51:S51"/>
    <mergeCell ref="T51:V51"/>
    <mergeCell ref="X51:Y51"/>
    <mergeCell ref="B50:D50"/>
    <mergeCell ref="E50:G50"/>
    <mergeCell ref="H50:J50"/>
    <mergeCell ref="K50:M50"/>
    <mergeCell ref="N50:P50"/>
    <mergeCell ref="Q50:S50"/>
    <mergeCell ref="T48:V48"/>
    <mergeCell ref="X48:Y48"/>
    <mergeCell ref="B49:D49"/>
    <mergeCell ref="E49:G49"/>
    <mergeCell ref="H49:J49"/>
    <mergeCell ref="K49:M49"/>
    <mergeCell ref="N49:P49"/>
    <mergeCell ref="Q49:S49"/>
    <mergeCell ref="T49:V49"/>
    <mergeCell ref="X49:Y49"/>
    <mergeCell ref="B48:D48"/>
    <mergeCell ref="E48:G48"/>
    <mergeCell ref="H48:J48"/>
    <mergeCell ref="K48:M48"/>
    <mergeCell ref="N48:P48"/>
    <mergeCell ref="Q48:S48"/>
    <mergeCell ref="T46:V46"/>
    <mergeCell ref="X46:Y46"/>
    <mergeCell ref="B47:D47"/>
    <mergeCell ref="E47:G47"/>
    <mergeCell ref="H47:J47"/>
    <mergeCell ref="K47:M47"/>
    <mergeCell ref="N47:P47"/>
    <mergeCell ref="Q47:S47"/>
    <mergeCell ref="T47:V47"/>
    <mergeCell ref="X47:Y47"/>
    <mergeCell ref="B46:D46"/>
    <mergeCell ref="E46:G46"/>
    <mergeCell ref="H46:J46"/>
    <mergeCell ref="K46:M46"/>
    <mergeCell ref="N46:P46"/>
    <mergeCell ref="Q46:S46"/>
    <mergeCell ref="T44:V44"/>
    <mergeCell ref="X44:Y44"/>
    <mergeCell ref="B45:D45"/>
    <mergeCell ref="E45:G45"/>
    <mergeCell ref="H45:J45"/>
    <mergeCell ref="K45:M45"/>
    <mergeCell ref="N45:P45"/>
    <mergeCell ref="Q45:S45"/>
    <mergeCell ref="T45:V45"/>
    <mergeCell ref="X45:Y45"/>
    <mergeCell ref="B44:D44"/>
    <mergeCell ref="E44:G44"/>
    <mergeCell ref="H44:J44"/>
    <mergeCell ref="K44:M44"/>
    <mergeCell ref="N44:P44"/>
    <mergeCell ref="Q44:S44"/>
    <mergeCell ref="T42:V42"/>
    <mergeCell ref="X42:Y42"/>
    <mergeCell ref="B43:D43"/>
    <mergeCell ref="E43:G43"/>
    <mergeCell ref="H43:J43"/>
    <mergeCell ref="K43:M43"/>
    <mergeCell ref="N43:P43"/>
    <mergeCell ref="Q43:S43"/>
    <mergeCell ref="T43:V43"/>
    <mergeCell ref="X43:Y43"/>
    <mergeCell ref="B42:D42"/>
    <mergeCell ref="E42:G42"/>
    <mergeCell ref="H42:J42"/>
    <mergeCell ref="K42:M42"/>
    <mergeCell ref="N42:P42"/>
    <mergeCell ref="Q42:S42"/>
    <mergeCell ref="T40:V40"/>
    <mergeCell ref="X40:Y40"/>
    <mergeCell ref="B41:D41"/>
    <mergeCell ref="E41:G41"/>
    <mergeCell ref="H41:J41"/>
    <mergeCell ref="K41:M41"/>
    <mergeCell ref="N41:P41"/>
    <mergeCell ref="Q41:S41"/>
    <mergeCell ref="T41:V41"/>
    <mergeCell ref="X41:Y41"/>
    <mergeCell ref="B40:D40"/>
    <mergeCell ref="E40:G40"/>
    <mergeCell ref="H40:J40"/>
    <mergeCell ref="K40:M40"/>
    <mergeCell ref="N40:P40"/>
    <mergeCell ref="Q40:S40"/>
    <mergeCell ref="T38:V38"/>
    <mergeCell ref="X38:Y38"/>
    <mergeCell ref="B39:D39"/>
    <mergeCell ref="E39:G39"/>
    <mergeCell ref="H39:J39"/>
    <mergeCell ref="K39:M39"/>
    <mergeCell ref="N39:P39"/>
    <mergeCell ref="Q39:S39"/>
    <mergeCell ref="T39:V39"/>
    <mergeCell ref="X39:Y39"/>
    <mergeCell ref="B38:D38"/>
    <mergeCell ref="E38:G38"/>
    <mergeCell ref="H38:J38"/>
    <mergeCell ref="K38:M38"/>
    <mergeCell ref="N38:P38"/>
    <mergeCell ref="Q38:S38"/>
    <mergeCell ref="T36:V36"/>
    <mergeCell ref="X36:Y36"/>
    <mergeCell ref="B37:D37"/>
    <mergeCell ref="E37:G37"/>
    <mergeCell ref="H37:J37"/>
    <mergeCell ref="K37:M37"/>
    <mergeCell ref="N37:P37"/>
    <mergeCell ref="Q37:S37"/>
    <mergeCell ref="T37:V37"/>
    <mergeCell ref="X37:Y37"/>
    <mergeCell ref="B36:D36"/>
    <mergeCell ref="E36:G36"/>
    <mergeCell ref="H36:J36"/>
    <mergeCell ref="K36:M36"/>
    <mergeCell ref="N36:P36"/>
    <mergeCell ref="Q36:S36"/>
    <mergeCell ref="T34:V34"/>
    <mergeCell ref="X34:Y34"/>
    <mergeCell ref="B35:D35"/>
    <mergeCell ref="E35:G35"/>
    <mergeCell ref="H35:J35"/>
    <mergeCell ref="K35:M35"/>
    <mergeCell ref="N35:P35"/>
    <mergeCell ref="Q35:S35"/>
    <mergeCell ref="T35:V35"/>
    <mergeCell ref="X35:Y35"/>
    <mergeCell ref="B34:D34"/>
    <mergeCell ref="E34:G34"/>
    <mergeCell ref="H34:J34"/>
    <mergeCell ref="K34:M34"/>
    <mergeCell ref="N34:P34"/>
    <mergeCell ref="Q34:S34"/>
    <mergeCell ref="T32:V32"/>
    <mergeCell ref="X32:Y32"/>
    <mergeCell ref="B33:D33"/>
    <mergeCell ref="E33:G33"/>
    <mergeCell ref="H33:J33"/>
    <mergeCell ref="K33:M33"/>
    <mergeCell ref="N33:P33"/>
    <mergeCell ref="Q33:S33"/>
    <mergeCell ref="T33:V33"/>
    <mergeCell ref="X33:Y33"/>
    <mergeCell ref="T27:U27"/>
    <mergeCell ref="A28:Y29"/>
    <mergeCell ref="A30:Y30"/>
    <mergeCell ref="A31:Y31"/>
    <mergeCell ref="B32:D32"/>
    <mergeCell ref="E32:G32"/>
    <mergeCell ref="H32:J32"/>
    <mergeCell ref="K32:M32"/>
    <mergeCell ref="N32:P32"/>
    <mergeCell ref="Q32:S32"/>
    <mergeCell ref="B27:C27"/>
    <mergeCell ref="E27:F27"/>
    <mergeCell ref="H27:I27"/>
    <mergeCell ref="K27:L27"/>
    <mergeCell ref="N27:O27"/>
    <mergeCell ref="Q27:R27"/>
    <mergeCell ref="X21:Y21"/>
    <mergeCell ref="B22:C22"/>
    <mergeCell ref="B23:C23"/>
    <mergeCell ref="B24:C24"/>
    <mergeCell ref="B25:C25"/>
    <mergeCell ref="B26:C26"/>
    <mergeCell ref="A19:Y20"/>
    <mergeCell ref="A21:A22"/>
    <mergeCell ref="B21:D21"/>
    <mergeCell ref="E21:G21"/>
    <mergeCell ref="H21:J21"/>
    <mergeCell ref="K21:M21"/>
    <mergeCell ref="N21:P21"/>
    <mergeCell ref="Q21:S21"/>
    <mergeCell ref="T21:V21"/>
    <mergeCell ref="W21:W22"/>
    <mergeCell ref="B18:D18"/>
    <mergeCell ref="E18:G18"/>
    <mergeCell ref="N18:P18"/>
    <mergeCell ref="Q18:S18"/>
    <mergeCell ref="T18:V18"/>
    <mergeCell ref="W18:Y18"/>
    <mergeCell ref="B17:D17"/>
    <mergeCell ref="E17:G17"/>
    <mergeCell ref="N17:P17"/>
    <mergeCell ref="Q17:S17"/>
    <mergeCell ref="T17:V17"/>
    <mergeCell ref="W17:Y17"/>
    <mergeCell ref="W15:Y15"/>
    <mergeCell ref="B16:D16"/>
    <mergeCell ref="E16:G16"/>
    <mergeCell ref="N16:P16"/>
    <mergeCell ref="Q16:S16"/>
    <mergeCell ref="T16:V16"/>
    <mergeCell ref="W16:Y16"/>
    <mergeCell ref="B15:D15"/>
    <mergeCell ref="E15:G15"/>
    <mergeCell ref="K15:M15"/>
    <mergeCell ref="N15:P15"/>
    <mergeCell ref="Q15:S15"/>
    <mergeCell ref="T15:V15"/>
    <mergeCell ref="B14:D14"/>
    <mergeCell ref="E14:G14"/>
    <mergeCell ref="N14:P14"/>
    <mergeCell ref="Q14:S14"/>
    <mergeCell ref="T14:V14"/>
    <mergeCell ref="W14:Y14"/>
    <mergeCell ref="B13:D13"/>
    <mergeCell ref="E13:G13"/>
    <mergeCell ref="N13:P13"/>
    <mergeCell ref="Q13:S13"/>
    <mergeCell ref="T13:V13"/>
    <mergeCell ref="W13:Y13"/>
    <mergeCell ref="Q11:S11"/>
    <mergeCell ref="T11:V11"/>
    <mergeCell ref="W11:Y11"/>
    <mergeCell ref="B12:D12"/>
    <mergeCell ref="E12:G12"/>
    <mergeCell ref="N12:P12"/>
    <mergeCell ref="Q12:S12"/>
    <mergeCell ref="T12:V12"/>
    <mergeCell ref="W12:Y12"/>
    <mergeCell ref="A1:Y4"/>
    <mergeCell ref="A5:Y6"/>
    <mergeCell ref="A7:Y8"/>
    <mergeCell ref="A9:Y9"/>
    <mergeCell ref="A10:Y10"/>
    <mergeCell ref="B11:D11"/>
    <mergeCell ref="E11:G11"/>
    <mergeCell ref="H11:J11"/>
    <mergeCell ref="K11:M11"/>
    <mergeCell ref="N11:P1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ANIPA</dc:creator>
  <cp:lastModifiedBy>ANIPA</cp:lastModifiedBy>
  <dcterms:created xsi:type="dcterms:W3CDTF">2020-06-25T15:17:57Z</dcterms:created>
  <dcterms:modified xsi:type="dcterms:W3CDTF">2020-06-25T15:21:48Z</dcterms:modified>
</cp:coreProperties>
</file>